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ork\смета\все сметы и отчеты\2024-2025\"/>
    </mc:Choice>
  </mc:AlternateContent>
  <xr:revisionPtr revIDLastSave="0" documentId="13_ncr:1_{53E1110F-47E1-4208-AAF5-7EF1BA394031}" xr6:coauthVersionLast="47" xr6:coauthVersionMax="47" xr10:uidLastSave="{00000000-0000-0000-0000-000000000000}"/>
  <bookViews>
    <workbookView xWindow="780" yWindow="720" windowWidth="18345" windowHeight="20880" xr2:uid="{00000000-000D-0000-FFFF-FFFF00000000}"/>
  </bookViews>
  <sheets>
    <sheet name="Исполнение" sheetId="10" r:id="rId1"/>
    <sheet name="План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51" i="10" l="1"/>
  <c r="AC45" i="10" l="1"/>
  <c r="AB45" i="10"/>
  <c r="AA45" i="10"/>
  <c r="Z45" i="10"/>
  <c r="AD44" i="10"/>
  <c r="AD43" i="10"/>
  <c r="AD42" i="10"/>
  <c r="AD41" i="10"/>
  <c r="AD40" i="10"/>
  <c r="AD39" i="10"/>
  <c r="AC35" i="10"/>
  <c r="AB35" i="10"/>
  <c r="AA35" i="10"/>
  <c r="Z35" i="10"/>
  <c r="AD33" i="10"/>
  <c r="AD31" i="10"/>
  <c r="AD30" i="10"/>
  <c r="AD29" i="10"/>
  <c r="AD28" i="10"/>
  <c r="AD27" i="10"/>
  <c r="AD26" i="10"/>
  <c r="AD25" i="10"/>
  <c r="AD24" i="10"/>
  <c r="AD23" i="10"/>
  <c r="AD22" i="10"/>
  <c r="AD21" i="10"/>
  <c r="AD20" i="10"/>
  <c r="AD19" i="10"/>
  <c r="AD18" i="10"/>
  <c r="AD17" i="10"/>
  <c r="AD16" i="10"/>
  <c r="AD15" i="10"/>
  <c r="AD14" i="10"/>
  <c r="AD13" i="10"/>
  <c r="AD12" i="10"/>
  <c r="AD11" i="10"/>
  <c r="AD10" i="10"/>
  <c r="AD9" i="10"/>
  <c r="AD8" i="10"/>
  <c r="AD7" i="10"/>
  <c r="AD6" i="10"/>
  <c r="AC5" i="10"/>
  <c r="AB5" i="10"/>
  <c r="AA5" i="10"/>
  <c r="Z5" i="10"/>
  <c r="U44" i="10"/>
  <c r="Y44" i="10" s="1"/>
  <c r="U43" i="10"/>
  <c r="Y43" i="10" s="1"/>
  <c r="U42" i="10"/>
  <c r="Y42" i="10" s="1"/>
  <c r="U41" i="10"/>
  <c r="V41" i="10" s="1"/>
  <c r="U40" i="10"/>
  <c r="Y40" i="10" s="1"/>
  <c r="U39" i="10"/>
  <c r="U45" i="10" l="1"/>
  <c r="Y41" i="10"/>
  <c r="AD5" i="10"/>
  <c r="Z46" i="10"/>
  <c r="Z52" i="10" s="1"/>
  <c r="AA46" i="10"/>
  <c r="AA52" i="10" s="1"/>
  <c r="AD35" i="10"/>
  <c r="AB46" i="10"/>
  <c r="AB52" i="10" s="1"/>
  <c r="AC46" i="10"/>
  <c r="AC52" i="10" s="1"/>
  <c r="AD45" i="10"/>
  <c r="X41" i="10"/>
  <c r="W41" i="10"/>
  <c r="V43" i="10"/>
  <c r="V39" i="10"/>
  <c r="Y39" i="10"/>
  <c r="V40" i="10"/>
  <c r="V44" i="10"/>
  <c r="V42" i="10"/>
  <c r="Y45" i="10" l="1"/>
  <c r="AD52" i="10"/>
  <c r="AD46" i="10"/>
  <c r="X42" i="10"/>
  <c r="W42" i="10"/>
  <c r="X44" i="10"/>
  <c r="W44" i="10"/>
  <c r="X40" i="10"/>
  <c r="W40" i="10"/>
  <c r="X39" i="10"/>
  <c r="W39" i="10"/>
  <c r="V45" i="10"/>
  <c r="X43" i="10"/>
  <c r="W43" i="10"/>
  <c r="W45" i="10" l="1"/>
  <c r="X45" i="10"/>
  <c r="D24" i="9" l="1"/>
  <c r="M39" i="10"/>
  <c r="C47" i="9"/>
  <c r="C53" i="9" l="1"/>
  <c r="E27" i="10"/>
  <c r="U19" i="10" l="1"/>
  <c r="U27" i="10"/>
  <c r="U6" i="10"/>
  <c r="K6" i="10" l="1"/>
  <c r="Y6" i="10"/>
  <c r="V6" i="10"/>
  <c r="Y27" i="10"/>
  <c r="V27" i="10"/>
  <c r="Q19" i="10"/>
  <c r="V19" i="10"/>
  <c r="Y19" i="10"/>
  <c r="Q6" i="10"/>
  <c r="E6" i="10"/>
  <c r="X19" i="10" l="1"/>
  <c r="W19" i="10"/>
  <c r="W27" i="10"/>
  <c r="X27" i="10"/>
  <c r="W6" i="10"/>
  <c r="X6" i="10"/>
  <c r="C54" i="9"/>
  <c r="D54" i="9" l="1"/>
  <c r="C56" i="9"/>
  <c r="D56" i="9" s="1"/>
  <c r="C55" i="9"/>
  <c r="M44" i="10"/>
  <c r="M40" i="10"/>
  <c r="M41" i="10"/>
  <c r="M42" i="10"/>
  <c r="M43" i="10"/>
  <c r="C57" i="9" l="1"/>
  <c r="D55" i="9"/>
  <c r="U31" i="10"/>
  <c r="Y31" i="10" l="1"/>
  <c r="V31" i="10"/>
  <c r="Q31" i="10"/>
  <c r="S31" i="10" s="1"/>
  <c r="K31" i="10"/>
  <c r="L31" i="10" s="1"/>
  <c r="E31" i="10"/>
  <c r="G31" i="10" s="1"/>
  <c r="T51" i="10"/>
  <c r="S51" i="10"/>
  <c r="R51" i="10"/>
  <c r="M51" i="10"/>
  <c r="L51" i="10"/>
  <c r="G51" i="10"/>
  <c r="F51" i="10"/>
  <c r="U30" i="10"/>
  <c r="U29" i="10"/>
  <c r="U28" i="10"/>
  <c r="U26" i="10"/>
  <c r="U25" i="10"/>
  <c r="U24" i="10"/>
  <c r="U23" i="10"/>
  <c r="U22" i="10"/>
  <c r="U21" i="10"/>
  <c r="U20" i="10"/>
  <c r="U16" i="10"/>
  <c r="U15" i="10"/>
  <c r="U14" i="10"/>
  <c r="U13" i="10"/>
  <c r="U12" i="10"/>
  <c r="U9" i="10"/>
  <c r="U8" i="10"/>
  <c r="U7" i="10"/>
  <c r="G33" i="10"/>
  <c r="U33" i="10" s="1"/>
  <c r="F33" i="10"/>
  <c r="M29" i="10"/>
  <c r="T19" i="10"/>
  <c r="S19" i="10"/>
  <c r="R19" i="10"/>
  <c r="T6" i="10"/>
  <c r="S6" i="10"/>
  <c r="R6" i="10"/>
  <c r="M6" i="10"/>
  <c r="L6" i="10"/>
  <c r="G6" i="10"/>
  <c r="F6" i="10"/>
  <c r="Y25" i="10" l="1"/>
  <c r="V25" i="10"/>
  <c r="V13" i="10"/>
  <c r="Y13" i="10"/>
  <c r="Y30" i="10"/>
  <c r="V30" i="10"/>
  <c r="Y8" i="10"/>
  <c r="V8" i="10"/>
  <c r="Y16" i="10"/>
  <c r="V16" i="10"/>
  <c r="Y23" i="10"/>
  <c r="V23" i="10"/>
  <c r="Y26" i="10"/>
  <c r="V26" i="10"/>
  <c r="V20" i="10"/>
  <c r="Y20" i="10"/>
  <c r="W31" i="10"/>
  <c r="X31" i="10"/>
  <c r="V22" i="10"/>
  <c r="Y22" i="10"/>
  <c r="V24" i="10"/>
  <c r="Y24" i="10"/>
  <c r="Y28" i="10"/>
  <c r="V28" i="10"/>
  <c r="V29" i="10"/>
  <c r="Y29" i="10"/>
  <c r="V33" i="10"/>
  <c r="Y33" i="10"/>
  <c r="Y7" i="10"/>
  <c r="V7" i="10"/>
  <c r="Y9" i="10"/>
  <c r="V9" i="10"/>
  <c r="Y12" i="10"/>
  <c r="V12" i="10"/>
  <c r="Y14" i="10"/>
  <c r="V14" i="10"/>
  <c r="Y15" i="10"/>
  <c r="V15" i="10"/>
  <c r="V21" i="10"/>
  <c r="Y21" i="10"/>
  <c r="T31" i="10"/>
  <c r="F31" i="10"/>
  <c r="M31" i="10"/>
  <c r="R31" i="10"/>
  <c r="Q14" i="10"/>
  <c r="K14" i="10"/>
  <c r="E14" i="10"/>
  <c r="Q7" i="10"/>
  <c r="K7" i="10"/>
  <c r="E7" i="10"/>
  <c r="K15" i="10"/>
  <c r="Q15" i="10"/>
  <c r="E15" i="10"/>
  <c r="Q24" i="10"/>
  <c r="K24" i="10"/>
  <c r="E24" i="10"/>
  <c r="K23" i="10"/>
  <c r="Q23" i="10"/>
  <c r="E23" i="10"/>
  <c r="K8" i="10"/>
  <c r="Q8" i="10"/>
  <c r="E8" i="10"/>
  <c r="E16" i="10"/>
  <c r="K16" i="10"/>
  <c r="Q25" i="10"/>
  <c r="K25" i="10"/>
  <c r="E25" i="10"/>
  <c r="K30" i="10"/>
  <c r="E30" i="10"/>
  <c r="K9" i="10"/>
  <c r="Q9" i="10"/>
  <c r="E9" i="10"/>
  <c r="Q20" i="10"/>
  <c r="K20" i="10"/>
  <c r="E20" i="10"/>
  <c r="K26" i="10"/>
  <c r="Q26" i="10"/>
  <c r="E26" i="10"/>
  <c r="Q12" i="10"/>
  <c r="K12" i="10"/>
  <c r="E12" i="10"/>
  <c r="Q21" i="10"/>
  <c r="K21" i="10"/>
  <c r="E21" i="10"/>
  <c r="Q28" i="10"/>
  <c r="K28" i="10"/>
  <c r="E28" i="10"/>
  <c r="E19" i="10"/>
  <c r="G19" i="10" s="1"/>
  <c r="K19" i="10"/>
  <c r="Q13" i="10"/>
  <c r="K13" i="10"/>
  <c r="E13" i="10"/>
  <c r="Q22" i="10"/>
  <c r="K22" i="10"/>
  <c r="E22" i="10"/>
  <c r="E29" i="10"/>
  <c r="U51" i="10"/>
  <c r="D53" i="9"/>
  <c r="D57" i="9" s="1"/>
  <c r="X22" i="10" l="1"/>
  <c r="W22" i="10"/>
  <c r="W12" i="10"/>
  <c r="X12" i="10"/>
  <c r="X23" i="10"/>
  <c r="W23" i="10"/>
  <c r="X16" i="10"/>
  <c r="W16" i="10"/>
  <c r="W28" i="10"/>
  <c r="X28" i="10"/>
  <c r="X21" i="10"/>
  <c r="W21" i="10"/>
  <c r="W14" i="10"/>
  <c r="X14" i="10"/>
  <c r="X20" i="10"/>
  <c r="W20" i="10"/>
  <c r="X13" i="10"/>
  <c r="W13" i="10"/>
  <c r="C63" i="9"/>
  <c r="C64" i="9" s="1"/>
  <c r="Y51" i="10"/>
  <c r="V51" i="10"/>
  <c r="W26" i="10"/>
  <c r="X26" i="10"/>
  <c r="W9" i="10"/>
  <c r="X9" i="10"/>
  <c r="W7" i="10"/>
  <c r="X7" i="10"/>
  <c r="X8" i="10"/>
  <c r="W8" i="10"/>
  <c r="X29" i="10"/>
  <c r="W29" i="10"/>
  <c r="W25" i="10"/>
  <c r="X25" i="10"/>
  <c r="X15" i="10"/>
  <c r="W15" i="10"/>
  <c r="X33" i="10"/>
  <c r="W33" i="10"/>
  <c r="X30" i="10"/>
  <c r="W30" i="10"/>
  <c r="X24" i="10"/>
  <c r="W24" i="10"/>
  <c r="M28" i="10"/>
  <c r="L28" i="10"/>
  <c r="R26" i="10"/>
  <c r="T26" i="10"/>
  <c r="S26" i="10"/>
  <c r="F30" i="10"/>
  <c r="G30" i="10"/>
  <c r="M8" i="10"/>
  <c r="L8" i="10"/>
  <c r="S15" i="10"/>
  <c r="T15" i="10"/>
  <c r="G28" i="10"/>
  <c r="F28" i="10"/>
  <c r="G26" i="10"/>
  <c r="F26" i="10"/>
  <c r="S25" i="10"/>
  <c r="R25" i="10"/>
  <c r="T25" i="10"/>
  <c r="L23" i="10"/>
  <c r="M23" i="10"/>
  <c r="G15" i="10"/>
  <c r="G22" i="10"/>
  <c r="F22" i="10"/>
  <c r="L22" i="10"/>
  <c r="M22" i="10"/>
  <c r="R28" i="10"/>
  <c r="T28" i="10"/>
  <c r="S28" i="10"/>
  <c r="G12" i="10"/>
  <c r="F12" i="10"/>
  <c r="M26" i="10"/>
  <c r="L26" i="10"/>
  <c r="G9" i="10"/>
  <c r="F9" i="10"/>
  <c r="M30" i="10"/>
  <c r="L30" i="10"/>
  <c r="M16" i="10"/>
  <c r="L16" i="10"/>
  <c r="F24" i="10"/>
  <c r="G24" i="10"/>
  <c r="M15" i="10"/>
  <c r="F14" i="10"/>
  <c r="G14" i="10"/>
  <c r="T21" i="10"/>
  <c r="S21" i="10"/>
  <c r="R21" i="10"/>
  <c r="S8" i="10"/>
  <c r="R8" i="10"/>
  <c r="T8" i="10"/>
  <c r="T7" i="10"/>
  <c r="R7" i="10"/>
  <c r="S7" i="10"/>
  <c r="T13" i="10"/>
  <c r="S13" i="10"/>
  <c r="R13" i="10"/>
  <c r="T22" i="10"/>
  <c r="S22" i="10"/>
  <c r="R22" i="10"/>
  <c r="M19" i="10"/>
  <c r="L19" i="10"/>
  <c r="L12" i="10"/>
  <c r="M12" i="10"/>
  <c r="R9" i="10"/>
  <c r="T9" i="10"/>
  <c r="S9" i="10"/>
  <c r="G16" i="10"/>
  <c r="F16" i="10"/>
  <c r="M24" i="10"/>
  <c r="L24" i="10"/>
  <c r="M14" i="10"/>
  <c r="L14" i="10"/>
  <c r="M13" i="10"/>
  <c r="L13" i="10"/>
  <c r="R20" i="10"/>
  <c r="S20" i="10"/>
  <c r="T20" i="10"/>
  <c r="G21" i="10"/>
  <c r="F21" i="10"/>
  <c r="S12" i="10"/>
  <c r="T12" i="10"/>
  <c r="R12" i="10"/>
  <c r="G20" i="10"/>
  <c r="F20" i="10"/>
  <c r="M9" i="10"/>
  <c r="L9" i="10"/>
  <c r="F25" i="10"/>
  <c r="G25" i="10"/>
  <c r="G23" i="10"/>
  <c r="F23" i="10"/>
  <c r="T24" i="10"/>
  <c r="S24" i="10"/>
  <c r="R24" i="10"/>
  <c r="F7" i="10"/>
  <c r="G7" i="10"/>
  <c r="S14" i="10"/>
  <c r="R14" i="10"/>
  <c r="T14" i="10"/>
  <c r="G29" i="10"/>
  <c r="F29" i="10"/>
  <c r="F13" i="10"/>
  <c r="G13" i="10"/>
  <c r="M21" i="10"/>
  <c r="L21" i="10"/>
  <c r="M20" i="10"/>
  <c r="L20" i="10"/>
  <c r="M25" i="10"/>
  <c r="L25" i="10"/>
  <c r="G8" i="10"/>
  <c r="F8" i="10"/>
  <c r="S23" i="10"/>
  <c r="R23" i="10"/>
  <c r="T23" i="10"/>
  <c r="M7" i="10"/>
  <c r="L7" i="10"/>
  <c r="D63" i="9" l="1"/>
  <c r="D64" i="9" s="1"/>
  <c r="X51" i="10"/>
  <c r="W51" i="10"/>
  <c r="D25" i="9"/>
  <c r="D37" i="9" l="1"/>
  <c r="D31" i="9" l="1"/>
  <c r="D34" i="9" l="1"/>
  <c r="D23" i="9" l="1"/>
  <c r="D46" i="9" l="1"/>
  <c r="D45" i="9" l="1"/>
  <c r="D47" i="9" s="1"/>
  <c r="D38" i="9"/>
  <c r="D36" i="9"/>
  <c r="D35" i="9"/>
  <c r="D33" i="9"/>
  <c r="D32" i="9"/>
  <c r="D30" i="9"/>
  <c r="D29" i="9"/>
  <c r="D28" i="9"/>
  <c r="D27" i="9"/>
  <c r="C26" i="9"/>
  <c r="U11" i="10" s="1"/>
  <c r="D22" i="9"/>
  <c r="D16" i="9"/>
  <c r="D15" i="9"/>
  <c r="D14" i="9"/>
  <c r="D13" i="9"/>
  <c r="D12" i="9"/>
  <c r="D11" i="9"/>
  <c r="D10" i="9"/>
  <c r="D9" i="9"/>
  <c r="C8" i="9"/>
  <c r="U10" i="10" s="1"/>
  <c r="Y11" i="10" l="1"/>
  <c r="V11" i="10"/>
  <c r="V10" i="10"/>
  <c r="Y10" i="10"/>
  <c r="K11" i="10"/>
  <c r="Q11" i="10"/>
  <c r="E11" i="10"/>
  <c r="Q10" i="10"/>
  <c r="K10" i="10"/>
  <c r="E10" i="10"/>
  <c r="C30" i="9"/>
  <c r="U18" i="10" s="1"/>
  <c r="C11" i="9"/>
  <c r="U17" i="10" s="1"/>
  <c r="D39" i="9"/>
  <c r="D17" i="9"/>
  <c r="V17" i="10" l="1"/>
  <c r="Y17" i="10"/>
  <c r="X11" i="10"/>
  <c r="W11" i="10"/>
  <c r="V18" i="10"/>
  <c r="Y18" i="10"/>
  <c r="Y35" i="10"/>
  <c r="Y46" i="10" s="1"/>
  <c r="Y52" i="10" s="1"/>
  <c r="W10" i="10"/>
  <c r="X10" i="10"/>
  <c r="F11" i="10"/>
  <c r="G11" i="10"/>
  <c r="G10" i="10"/>
  <c r="F10" i="10"/>
  <c r="M10" i="10"/>
  <c r="L10" i="10"/>
  <c r="T10" i="10"/>
  <c r="R10" i="10"/>
  <c r="S10" i="10"/>
  <c r="T11" i="10"/>
  <c r="S11" i="10"/>
  <c r="R11" i="10"/>
  <c r="Q17" i="10"/>
  <c r="K17" i="10"/>
  <c r="E17" i="10"/>
  <c r="K18" i="10"/>
  <c r="Q18" i="10"/>
  <c r="E18" i="10"/>
  <c r="L11" i="10"/>
  <c r="M11" i="10"/>
  <c r="C17" i="9"/>
  <c r="C39" i="9"/>
  <c r="D40" i="9"/>
  <c r="D48" i="9" s="1"/>
  <c r="D58" i="9" s="1"/>
  <c r="D65" i="9" s="1"/>
  <c r="W18" i="10" l="1"/>
  <c r="X18" i="10"/>
  <c r="X17" i="10"/>
  <c r="W17" i="10"/>
  <c r="S17" i="10"/>
  <c r="R17" i="10"/>
  <c r="T17" i="10"/>
  <c r="M17" i="10"/>
  <c r="L17" i="10"/>
  <c r="G17" i="10"/>
  <c r="F17" i="10"/>
  <c r="G18" i="10"/>
  <c r="F18" i="10"/>
  <c r="R18" i="10"/>
  <c r="S18" i="10"/>
  <c r="T18" i="10"/>
  <c r="L18" i="10"/>
  <c r="M18" i="10"/>
  <c r="C40" i="9"/>
  <c r="C48" i="9" s="1"/>
  <c r="C58" i="9" s="1"/>
  <c r="C65" i="9" s="1"/>
  <c r="G27" i="10"/>
  <c r="F27" i="10"/>
  <c r="U35" i="10"/>
  <c r="U46" i="10" s="1"/>
  <c r="W35" i="10" l="1"/>
  <c r="W46" i="10" s="1"/>
  <c r="W52" i="10" s="1"/>
  <c r="X35" i="10"/>
  <c r="X46" i="10" s="1"/>
  <c r="X52" i="10" s="1"/>
  <c r="G5" i="10"/>
  <c r="V35" i="10"/>
  <c r="V46" i="10" s="1"/>
  <c r="V52" i="10" s="1"/>
  <c r="K27" i="10"/>
  <c r="Q27" i="10"/>
  <c r="F19" i="10"/>
  <c r="M27" i="10" l="1"/>
  <c r="M5" i="10" s="1"/>
  <c r="L27" i="10"/>
  <c r="K5" i="10"/>
  <c r="L5" i="10" s="1"/>
  <c r="S27" i="10"/>
  <c r="R27" i="10"/>
  <c r="T27" i="10"/>
  <c r="T5" i="10" s="1"/>
  <c r="Q5" i="10"/>
  <c r="R5" i="10" s="1"/>
  <c r="S5" i="10" l="1"/>
  <c r="U5" i="10" s="1"/>
  <c r="U52" i="10"/>
  <c r="V5" i="10" l="1"/>
  <c r="Y5" i="10"/>
  <c r="X5" i="10" l="1"/>
  <c r="W5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Z12" authorId="0" shapeId="0" xr:uid="{5E47C043-FEB1-4D28-B5ED-10144F410A42}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9439,00 - Госпошлина</t>
        </r>
      </text>
    </comment>
    <comment ref="AA12" authorId="0" shapeId="0" xr:uid="{02A54B36-703D-480A-AF70-A8468B3571E0}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58000,00 - Юридические услуги
10498,00 - Госпошлина</t>
        </r>
      </text>
    </comment>
    <comment ref="AB12" authorId="0" shapeId="0" xr:uid="{56AFD5F7-6645-40F4-910E-6DFA2F2AB810}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52299,00 - Договор на подготовку заявлений на выдачу судебных приказов и взносы в ОСФР
199,00 - Госпошлина</t>
        </r>
      </text>
    </comment>
    <comment ref="AB13" authorId="0" shapeId="0" xr:uid="{DAB76926-2912-401A-9F5D-EF2E62B72699}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2451,00 - Полиграфические услуги
2604,00 - Канцелярские товары</t>
        </r>
      </text>
    </comment>
    <comment ref="Z16" authorId="0" shapeId="0" xr:uid="{01BA9222-DACA-406A-9D43-A6EF0E48CFBF}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67241,20 - Договор подряда и взносы в ОСФР
30299,87 - Cемена, саженцы и материалы для посадки</t>
        </r>
      </text>
    </comment>
    <comment ref="AA16" authorId="0" shapeId="0" xr:uid="{41F77D2B-126F-44D1-AD80-C47F4B4D8F61}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29885,70 - Договор подряда и взносы в ОСФР</t>
        </r>
      </text>
    </comment>
    <comment ref="AB16" authorId="0" shapeId="0" xr:uid="{57786772-1E74-4C6B-B344-F9E87D45D48B}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14724,00 - Cемена, саженцы и материалы для посадки</t>
        </r>
      </text>
    </comment>
    <comment ref="Z21" authorId="0" shapeId="0" xr:uid="{F80E55AC-D4D1-40E4-B104-5E3A89E4E833}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6000,00 - Ежемесячное обслуживание ГИС ЖКХ
4260,42 - Аренда дискового пространства для функционирования сайта ТСЖ.</t>
        </r>
      </text>
    </comment>
    <comment ref="AA21" authorId="0" shapeId="0" xr:uid="{DB49ABA0-E659-4321-97D7-5C22E22032B2}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6000,00 - Ежемесячное обслуживание ГИС ЖКХ
3170,89 - Аренда дискового пространства для функционирования сайта ТСЖ.
15000,00 - Установка и настройка ПО</t>
        </r>
      </text>
    </comment>
    <comment ref="AB21" authorId="0" shapeId="0" xr:uid="{54C82072-4CBB-497E-BBF8-F78D9BAD12DF}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6000,00 - Ежемесячное обслуживание ГИС ЖКХ
2389,00 - Регистрация домена
10700,00 - Сайт ТСЖ
2900,00 - Работы по установке сайта
5770,00 - Аренда хостинг-площадки на 12 месяцев
3200,00 - Сопровождение "1С:Предприятие"
42000,00 - Доработка сайта ТСЖ
</t>
        </r>
      </text>
    </comment>
    <comment ref="Z23" authorId="0" shapeId="0" xr:uid="{550B3D44-03A4-4D04-BB87-07969AFB927A}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58878,90 - ТО лифтов и ОДС
14696,12 - Техническое освидетельствование лифтов
3000,00 - Ежегодное страхование лифтов</t>
        </r>
      </text>
    </comment>
    <comment ref="Z25" authorId="0" shapeId="0" xr:uid="{3B078E7E-7CF0-46B8-B693-485C89F53CE0}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804600,00 - Работы по ремонту входной лестницы
15750,00 - Ремонт подъемно-секционных ворот
2580,00 - ТО поломоечной машины
82183,40 - Гидроизоляция (договор подряда и взносы ОСФР)</t>
        </r>
      </text>
    </comment>
    <comment ref="AA25" authorId="0" shapeId="0" xr:uid="{EAFC2250-D869-4B09-98BC-038FB4DF5DB6}">
      <text>
        <r>
          <rPr>
            <b/>
            <sz val="9"/>
            <color indexed="81"/>
            <rFont val="Tahoma"/>
            <family val="2"/>
            <charset val="204"/>
          </rPr>
          <t xml:space="preserve">Admin:
</t>
        </r>
        <r>
          <rPr>
            <sz val="9"/>
            <color indexed="81"/>
            <rFont val="Tahoma"/>
            <family val="2"/>
            <charset val="204"/>
          </rPr>
          <t>343219,00 - Работы по ремонту входной лестницы
422469,00 - Ремонт облицовки фасада камнем парапетов и цоколя фасада дома
149000,00- Гидроизоляционные работы
53192,00 - Ремонтные работы в помещении теплоузла
81915,00 - Ремонт дренажной системы
4800,00 - Ремонт подъемно секционных ворот
41091,70 - Договор подряда на работы по замене водоприемной воронки и взносы в ОСФР</t>
        </r>
      </text>
    </comment>
    <comment ref="AB25" authorId="0" shapeId="0" xr:uid="{8E9A73DB-26AE-45E3-8DE2-3A62760A1275}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116396,00 - Ремонт подъемно секционных ворот
3360,00 - ТО поломоечной машины</t>
        </r>
      </text>
    </comment>
    <comment ref="Z26" authorId="0" shapeId="0" xr:uid="{77679341-0E56-4D67-84EA-180B76333FD6}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145796,87 - Строительные материалы
2300,00 - Доставка
11045,00 - Материалы для ремонта подъемно-секционных ворот
12372,20 - Материалы для ремонта лифта
7860,00 - Материалы для ремонта поломоечной машины
37811,00 - Ремонт системы видеонаблюдения</t>
        </r>
      </text>
    </comment>
    <comment ref="AA26" authorId="0" shapeId="0" xr:uid="{CFB1B886-8858-46FE-A73E-8F9D4C443B95}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54216,00 - Материалы для ремонта трубопроводных систем
21000,00 - Материалы для ремонта подъемно-секционных ворот
45540,00 - Ремонт системы видеонаблюдения
</t>
        </r>
      </text>
    </comment>
    <comment ref="AB26" authorId="0" shapeId="0" xr:uid="{F2C5D387-7B39-4278-8157-AF3BB0C340A7}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52661,80 - Строительные материалы
63829,00 - Полотно роллетное
27600,00 - Материалы для ремонта поломоечной машины</t>
        </r>
      </text>
    </comment>
  </commentList>
</comments>
</file>

<file path=xl/sharedStrings.xml><?xml version="1.0" encoding="utf-8"?>
<sst xmlns="http://schemas.openxmlformats.org/spreadsheetml/2006/main" count="395" uniqueCount="205">
  <si>
    <t>№ п/п</t>
  </si>
  <si>
    <t>Наименование показателя</t>
  </si>
  <si>
    <t>Руб. в месяц</t>
  </si>
  <si>
    <t>Руб. в год</t>
  </si>
  <si>
    <t>Заработная плата персонала управления</t>
  </si>
  <si>
    <t>Канцелярские принадлежности и почтовые расходы</t>
  </si>
  <si>
    <t>Содержание оргтехники</t>
  </si>
  <si>
    <t>Расчетно-кассовое обслуживание</t>
  </si>
  <si>
    <t>Услуги связи</t>
  </si>
  <si>
    <t>Повышение квалификации</t>
  </si>
  <si>
    <t>Программное обеспечение</t>
  </si>
  <si>
    <t>Итого:</t>
  </si>
  <si>
    <t>Заработная плата обслуживающего персонала</t>
  </si>
  <si>
    <t>2.1</t>
  </si>
  <si>
    <t>2.2</t>
  </si>
  <si>
    <t>Примечание</t>
  </si>
  <si>
    <t>Поставщик</t>
  </si>
  <si>
    <t>ООО "О.С.Б.-Техно"</t>
  </si>
  <si>
    <t>Видеонаблюдение</t>
  </si>
  <si>
    <t>ЗАО "Квантум"</t>
  </si>
  <si>
    <t>Охрана</t>
  </si>
  <si>
    <t>Содержание и обслуживание лифтов</t>
  </si>
  <si>
    <t>Замена и очистка ковров</t>
  </si>
  <si>
    <t>ЗАО "Линдстрем"</t>
  </si>
  <si>
    <t>Дезинфекция</t>
  </si>
  <si>
    <t>ОАО "Станция дезинфекции"</t>
  </si>
  <si>
    <t>Вывоз и утилизация отходов</t>
  </si>
  <si>
    <t>ТО системы кондиционирования</t>
  </si>
  <si>
    <t>Радиоточки</t>
  </si>
  <si>
    <t>ФГУП РСВО - Санкт-Петербург</t>
  </si>
  <si>
    <t>Аварийное обслуживание</t>
  </si>
  <si>
    <t>ООО "Содружество"</t>
  </si>
  <si>
    <t>ТО узла учета</t>
  </si>
  <si>
    <t>ЗАО "СИНТО"</t>
  </si>
  <si>
    <t>Текущий ремонт (по договорам)</t>
  </si>
  <si>
    <t>Текущий ремонт (материалы)</t>
  </si>
  <si>
    <t>Капитальный ремонт</t>
  </si>
  <si>
    <t>Электроэнергия ОДН</t>
  </si>
  <si>
    <t>Отопление и горячее водоснабжение</t>
  </si>
  <si>
    <t>ГУП "Водоканал Санкт-Петербурга"</t>
  </si>
  <si>
    <t>ОАО "ТГК-1"</t>
  </si>
  <si>
    <t>ОАО "ПСК"</t>
  </si>
  <si>
    <t>м2</t>
  </si>
  <si>
    <t xml:space="preserve">Единица </t>
  </si>
  <si>
    <t>Единица</t>
  </si>
  <si>
    <t>Итого</t>
  </si>
  <si>
    <t>Отчисления в страховые фонды (АУП)</t>
  </si>
  <si>
    <t>Отчисления в страховые фонды (Обслуживающий персонал)</t>
  </si>
  <si>
    <t>м3</t>
  </si>
  <si>
    <t>Материалы (инвентарь и хозяйственные принадлежности)</t>
  </si>
  <si>
    <t>Холодное водоснабжение и водоотведение</t>
  </si>
  <si>
    <t>Водоотведение</t>
  </si>
  <si>
    <t>ХВС</t>
  </si>
  <si>
    <t>Тариф за место</t>
  </si>
  <si>
    <t>В месяц</t>
  </si>
  <si>
    <t>В год</t>
  </si>
  <si>
    <t>Заработная плата административно-управленческого персонала</t>
  </si>
  <si>
    <t>офис</t>
  </si>
  <si>
    <t>Информационные и юридические услуги</t>
  </si>
  <si>
    <t xml:space="preserve">ТО автоматической противопожарной защиты </t>
  </si>
  <si>
    <t>Итого ТО МКД:</t>
  </si>
  <si>
    <t>3.1</t>
  </si>
  <si>
    <t>4.1</t>
  </si>
  <si>
    <t>ТО автоматической противопожарной защиты</t>
  </si>
  <si>
    <t xml:space="preserve">Озеленение территории </t>
  </si>
  <si>
    <t>Озеленение территории</t>
  </si>
  <si>
    <t>Содержание МКД (многоквартирного дома)</t>
  </si>
  <si>
    <t>Теплоэнергия и ГВС</t>
  </si>
  <si>
    <t>Квартиры</t>
  </si>
  <si>
    <t>Офисы</t>
  </si>
  <si>
    <t>Паркинг</t>
  </si>
  <si>
    <t>Гкал</t>
  </si>
  <si>
    <t>Среднемесячное потребление</t>
  </si>
  <si>
    <t>Услуга</t>
  </si>
  <si>
    <t>кВт</t>
  </si>
  <si>
    <t>Единица измерения</t>
  </si>
  <si>
    <t>место</t>
  </si>
  <si>
    <t xml:space="preserve">ООО "ЛК Интегралл плюс", ИКЦ "Техэксперт-сервис", "Ресо-гарантия", </t>
  </si>
  <si>
    <t>Изменения в % по отношению к предыдущему периоду</t>
  </si>
  <si>
    <t>ООО "Нева климат сервис"</t>
  </si>
  <si>
    <t>квартира</t>
  </si>
  <si>
    <t>Очистка фасада</t>
  </si>
  <si>
    <t>2 уборщицы, уборщик паркинга, дворник, инженер.</t>
  </si>
  <si>
    <t>Ежемесячное обслуживание по договору № 07-12-2012-СО.</t>
  </si>
  <si>
    <t>ООО "Биг-Сервис"</t>
  </si>
  <si>
    <t>ТО ТВ</t>
  </si>
  <si>
    <t>Ежемесячное обслуживание по договору № ЖН/ТО/Д/10-17 от 01.11.2017</t>
  </si>
  <si>
    <t>ЗАО "ЭлектронТелеком"</t>
  </si>
  <si>
    <t>Тариф сохранен без изменений.</t>
  </si>
  <si>
    <t>Резервный фонд (СоИ)</t>
  </si>
  <si>
    <t>Электроэнергия (дневная зона)</t>
  </si>
  <si>
    <t>Электроэнергия (ночная зона)</t>
  </si>
  <si>
    <t>Ежемесячное техническое обслуживание лифтов - 17 898,30 руб. Ежемесячное ТО ОДС - 1 728,00 руб. Ежегодное техническое освидетельствование лифтов - 14 696,14 руб. Ежегодное страхование - 1 500 руб.</t>
  </si>
  <si>
    <t>Размер средств начисленных в качестве взносов на капитальный ремонт (руб.)</t>
  </si>
  <si>
    <t>Сведения о размере израсходованных средств на капитальный ремонт со специального счета (руб.)</t>
  </si>
  <si>
    <t>Остаток денежных средств на специальном счете (руб.)</t>
  </si>
  <si>
    <t xml:space="preserve">Расходы на потребление коммунальных услуг: </t>
  </si>
  <si>
    <t xml:space="preserve">Прогнозируемые расходы на потребление коммунальных услуг на основании прошедшего года по дому в целом: </t>
  </si>
  <si>
    <t>Итого расходы на коммунальные услуги:</t>
  </si>
  <si>
    <t>Тариф на взносы на капитальный ремонт (минимальный размер тарифа устанавливается Правительством г. Санкт-Петербурга)</t>
  </si>
  <si>
    <t>ЗАПЛАНИРОВАННЫЕ НАЧИСЛЕНИЯ</t>
  </si>
  <si>
    <t>Итого по всем услугам:</t>
  </si>
  <si>
    <t>Сведения о поступлении и расходовании взносов на капитальный ремонт</t>
  </si>
  <si>
    <t>Размер собранных средств в качестве взносов на капитальный ремонт (руб.)</t>
  </si>
  <si>
    <t xml:space="preserve">Изменения в % </t>
  </si>
  <si>
    <t>Справочно:</t>
  </si>
  <si>
    <t>Метраж помещений</t>
  </si>
  <si>
    <r>
      <t xml:space="preserve">Тариф </t>
    </r>
    <r>
      <rPr>
        <b/>
        <sz val="11"/>
        <rFont val="Times New Roman"/>
        <family val="1"/>
        <charset val="204"/>
      </rPr>
      <t xml:space="preserve">2022 -2023 </t>
    </r>
    <r>
      <rPr>
        <sz val="11"/>
        <rFont val="Times New Roman"/>
        <family val="1"/>
        <charset val="204"/>
      </rPr>
      <t>г.</t>
    </r>
  </si>
  <si>
    <t>15 000,00 руб. - ежемесячная оплата за техническое обслуживание, 55 680,00 руб. - проверка работоспособности пожарных гидрантов.</t>
  </si>
  <si>
    <t>ООО "ОО "ДОВЕРИЕ"</t>
  </si>
  <si>
    <t>1. Жилищные услуги</t>
  </si>
  <si>
    <t>1.1. Административно-управленческие расходы</t>
  </si>
  <si>
    <t>1.1.2</t>
  </si>
  <si>
    <t>1.1.3</t>
  </si>
  <si>
    <t>1.1.4</t>
  </si>
  <si>
    <t>1.1.5</t>
  </si>
  <si>
    <t>1.1.6</t>
  </si>
  <si>
    <t>1.1.7</t>
  </si>
  <si>
    <t>1.1.8</t>
  </si>
  <si>
    <t>1.1.9</t>
  </si>
  <si>
    <t>1.1.1</t>
  </si>
  <si>
    <t xml:space="preserve">1.2. Содержание и обслуживание общего имущества 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</si>
  <si>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</si>
  <si>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</si>
  <si>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</si>
  <si>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</si>
  <si>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</si>
  <si>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</si>
  <si>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</si>
  <si>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</si>
  <si>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</si>
  <si>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</si>
  <si>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</si>
  <si>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</si>
  <si>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</si>
  <si>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</si>
  <si>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</si>
  <si>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1.2.16</t>
  </si>
  <si>
    <t>1.2.17</t>
  </si>
  <si>
    <t>2. Прочие услуги</t>
  </si>
  <si>
    <t>3. Коммунальные услуги</t>
  </si>
  <si>
    <t>3.2</t>
  </si>
  <si>
    <t>3.3</t>
  </si>
  <si>
    <t>3.4</t>
  </si>
  <si>
    <t>4. Капитальный ремонт</t>
  </si>
  <si>
    <t xml:space="preserve">   Итого без учета коммунальных услуг и взносов на капитальный ремонт:</t>
  </si>
  <si>
    <t>Итого планируемые расходы с учетом потребления коммунальных услуг:</t>
  </si>
  <si>
    <t>Итого планируемые начисления по обязательным взносам на капитальный ремонт:</t>
  </si>
  <si>
    <t>Итого по всем позициям:</t>
  </si>
  <si>
    <t>Прогнозируемые расходы на потребление коммунальных услуг:</t>
  </si>
  <si>
    <t>ПФР (страховая часть) - 22%, ФФОМС - 5.1%, ФСС (несчастный случай) -0,2%, ФСС (соц. страх. нетрудоспособности) - 2,9%</t>
  </si>
  <si>
    <t>АО "Невский экологический оператор"</t>
  </si>
  <si>
    <t xml:space="preserve">Председатель Правления, управляющий, бухгалтер. </t>
  </si>
  <si>
    <t>Следующая плановая очистка фасада перенесена на 2023 год.</t>
  </si>
  <si>
    <t>ПФР (страховая часть) - 22%, ФФОМС - 5.1%, ФСС (несчастный случай) - 0,2%, ФСС (соц. страх. нетрудоспособность) - 2,9%.</t>
  </si>
  <si>
    <t>77,5092 / 78,7922</t>
  </si>
  <si>
    <t>Тариф 2022 -2023 г.</t>
  </si>
  <si>
    <t>Тариф 2023 -2024 г.</t>
  </si>
  <si>
    <r>
      <t xml:space="preserve">Тариф </t>
    </r>
    <r>
      <rPr>
        <b/>
        <sz val="11"/>
        <rFont val="Times New Roman"/>
        <family val="1"/>
        <charset val="204"/>
      </rPr>
      <t xml:space="preserve">2023 -2024 </t>
    </r>
    <r>
      <rPr>
        <sz val="11"/>
        <rFont val="Times New Roman"/>
        <family val="1"/>
        <charset val="204"/>
      </rPr>
      <t>г.</t>
    </r>
  </si>
  <si>
    <t>Тариф 2022-2023 г.</t>
  </si>
  <si>
    <t>Тариф 2023-2024 г.</t>
  </si>
  <si>
    <t>ООО "АСТРАЛ-СОФТ", ООО "МТ ФИНАНС", АО "РСИЦ", ООО "ПОЛЯРИС ИТ"</t>
  </si>
  <si>
    <t>Хостинг сайта ТСЖ - 13 855,80 руб., консультации по работе с ПО и настройка информационной базы 1с - 8 000,00 руб., электронные подписи и токен - 4 000,00 руб., ежемесячное обслуживание ГИС ЖКХ - 48 000,00 руб.,  ежегодное продление регистрации домена -  3 289,00 руб., ЭДО и сервис передачи отчетности - 5 900,00 руб.</t>
  </si>
  <si>
    <t>Тариф увеличен в связи с плановым повышением стоимости расчетно-кассового обслуживания.</t>
  </si>
  <si>
    <t>Тариф сохранен без изменений соответствии с расходами прошлых лет.</t>
  </si>
  <si>
    <t>Подготовка к обязательной сдаче экзаменов на допуск к работам по обслуживанию лифтов, тепло - и электробезопасность. Тариф сохранен без изменений соответствии с расходами прошлых лет.</t>
  </si>
  <si>
    <t>Тариф уменьшен соответствии с расходами прошлых лет.</t>
  </si>
  <si>
    <t>Ежемесячное обслуживание по договору № 66 от 03.12.2018 г. Стоимость услуги увеличена с 01.01.2023 с 1 432,75 руб. до 1 576,06 руб. в месяц.</t>
  </si>
  <si>
    <t>Ежемесячное техническое обслуживание видеодомофона по Договору 4-С от 01.03.2019 г. - 15 000,00 руб. Работ по ремонту и восстановлению системы Urmet 18 000,00 руб.</t>
  </si>
  <si>
    <t>4-ех недельное обслуживание по договору № 38320 от 01.04.2011 г. С 01.01.2023 г. стоимость услуги увеличена с 13 020,84 руб. до 14 713,58 руб.</t>
  </si>
  <si>
    <t>Хозяйственный инвентарь. Материалы и средства для уборки. Тариф сохранен без изменений соответствии с расходами прошлых лет.</t>
  </si>
  <si>
    <t>Ежемесячное обслуживание по договору № 2210-18/ОУ от 22.10.2018 г. С 01.01.2023 г. стоимость ежемесячного обслуживания увеличена с 201000,00 руб. до 220660,00 руб.</t>
  </si>
  <si>
    <t xml:space="preserve"> Обслуживание системы кондиционирования два раза в год. Увеличена стоимость реагентов (фреон).</t>
  </si>
  <si>
    <t>Ежемесячное обслуживание по договору № 30593 от 03.08.2009 г. С 01.07.2022 г. стомость за радиоточку увеличена с 109,00 руб./шт до 117,90 руб./шт. С 01.01.2023 г. стомость за радиоточку увеличена с 117,90 руб./шт до 125,76 руб./шт</t>
  </si>
  <si>
    <t>Тариф исключен из сметы в связи с переходом на прямые договора и изменением законодательства в части расчетов за СОИ.</t>
  </si>
  <si>
    <t>Плата за вывоз мусора рассчитывается по формуле: Тариф руб/м3 х 0,0066 х Кол-во метров S квартиры. Где 0,0066 – является нормативом накопления ТКО на 1 м3.
С 01.06.2022 г. Тариф составлял 6,40 (=969,70руб./м3 х 0,0066 м3/м2). С 01.07.2022 г. Тариф составлял 8,32 (=1260,43 руб./м3 х 0,0066 м3/м2). С 01.12.2022 г. тариф составляет 9,03 (=1367,57руб./м3 х 0,0066 м3/м2).</t>
  </si>
  <si>
    <t>C 01.12.2022 тариф на отопление увеличен с 1 947,79 руб./Гкал до 2 111,40 руб./Гкал, и с 116,87 руб./м3 до 126,68 руб./м3 на горячую воду.</t>
  </si>
  <si>
    <t>C 01.12.2022 тариф на холодное водоснабжение и водоотведение увеличен с 33,68 руб./м3 до 36,54 руб./м3.</t>
  </si>
  <si>
    <t>C 01.12.2022 тариф на электрическую энергию увеличен с 4,51 руб./кВт∙ч до 4,88 руб./кВт∙ч. (дневная зона) и с 2,44 руб./кВт∙ч до 2,67 руб./кВт∙ч. (ночная зона).</t>
  </si>
  <si>
    <t xml:space="preserve">Минимальный размер взноса на капитальный ремонт общего имущества для типа "Панельные "новое строительство", постройки после 1980 г." и "дома, построенные после 1999 года, категории "новое строительство панельные" c лифтом с 01.01.2023 г. составляет 12,71 руб.\м2. </t>
  </si>
  <si>
    <t>Ежемесячное обслуживание по Доп. соглашение №1 от 01.01.2017 г. к Договору №Б-65-А от 29.07.2013 г.  с ООО "Содружество" расторгнуто с 01.07.2022 г.
Заключен договор на аварийное обслуживание с оплатой по факту выполненных работ с ООО «УК Возрождение» № 46/22 от 01.06.2022 г. Разовая стоимость вызова аварийной бригады составляет 3 200,00 руб.</t>
  </si>
  <si>
    <t>Финансово-хозяйственный план ТСЖ  "10-я линия 17-Г" на 2023-2024 год.</t>
  </si>
  <si>
    <t>Запланированные работы: Ремонт фасада - 500 000 руб., Ремонт гидроизоляции примыкания 400 000 руб.,Ремонт дождевых воронок - 100 000 руб., Ремонт калитки - 100 000 руб., Обслуживание фильтров воды - 90 000 руб.</t>
  </si>
  <si>
    <r>
      <t xml:space="preserve">Тариф «Содержание МКД» в размере </t>
    </r>
    <r>
      <rPr>
        <b/>
        <sz val="11"/>
        <rFont val="Times New Roman"/>
        <family val="1"/>
        <charset val="204"/>
      </rPr>
      <t xml:space="preserve">85,9952 </t>
    </r>
    <r>
      <rPr>
        <sz val="11"/>
        <rFont val="Times New Roman"/>
        <family val="1"/>
        <charset val="204"/>
      </rPr>
      <t xml:space="preserve">руб. – установлен для квартир без кондиционеров,
Тариф «Содержание МКД» в размере </t>
    </r>
    <r>
      <rPr>
        <b/>
        <sz val="11"/>
        <rFont val="Times New Roman"/>
        <family val="1"/>
        <charset val="204"/>
      </rPr>
      <t xml:space="preserve">87,6748 </t>
    </r>
    <r>
      <rPr>
        <sz val="11"/>
        <rFont val="Times New Roman"/>
        <family val="1"/>
        <charset val="204"/>
      </rPr>
      <t>руб. – установлен для квартир с кондиционерами.</t>
    </r>
  </si>
  <si>
    <t>85,9952 / 87,6748</t>
  </si>
  <si>
    <t>10,95% / 11,27%</t>
  </si>
  <si>
    <t>ОТЧЕТ ПО ИСПОЛНЕНИЮ СМЕТЫ С 01.06.2023 ПО 01.03.2024 ГГ.</t>
  </si>
  <si>
    <t>ЗАПЛАНИРОВАННЫЕ РАСХОДЫ</t>
  </si>
  <si>
    <t>За месяц</t>
  </si>
  <si>
    <t>За квартал</t>
  </si>
  <si>
    <t>За полугодие</t>
  </si>
  <si>
    <t>За 9 месяцев</t>
  </si>
  <si>
    <t>За год</t>
  </si>
  <si>
    <t>В квартал</t>
  </si>
  <si>
    <t>ФАКТИЧЕСКИЕ РАСХОДЫ</t>
  </si>
  <si>
    <t>1 квартал</t>
  </si>
  <si>
    <t>2 квартал</t>
  </si>
  <si>
    <t>3 квартал</t>
  </si>
  <si>
    <t>4 квартал</t>
  </si>
  <si>
    <t>Фактические расходы:</t>
  </si>
  <si>
    <t>Итого по коммунальным услугам:</t>
  </si>
  <si>
    <t>ФАКТИЧЕСКИЕ НАЧИСЛЕНИЯ (с учетом пени)</t>
  </si>
  <si>
    <t xml:space="preserve"> Итого без учета коммунальных услуг:</t>
  </si>
  <si>
    <t>Итого запланированные расходы с учетом потребления коммунальных услуг:</t>
  </si>
  <si>
    <t>по состоянию на 31 марта 2024 года (с момента первых начислений)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</si>
</sst>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11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49" fontId="1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4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4" fontId="4" fillId="5" borderId="1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center" vertical="center"/>
    </xf>
    <xf numFmtId="4" fontId="4" fillId="5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4" fontId="3" fillId="5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10" fontId="4" fillId="5" borderId="1" xfId="0" applyNumberFormat="1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4" fontId="1" fillId="0" borderId="0" xfId="0" applyNumberFormat="1" applyFont="1"/>
    <xf numFmtId="164" fontId="4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0" fontId="1" fillId="0" borderId="0" xfId="0" applyNumberFormat="1" applyFont="1"/>
    <xf numFmtId="4" fontId="1" fillId="0" borderId="3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/>
    <xf numFmtId="2" fontId="3" fillId="4" borderId="1" xfId="0" quotePrefix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4" fontId="3" fillId="5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1" fillId="0" borderId="0" xfId="0" applyFont="1" applyBorder="1"/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4" fontId="1" fillId="0" borderId="0" xfId="0" applyNumberFormat="1" applyFont="1"/>
    <xf numFmtId="0" fontId="1" fillId="0" borderId="0" xfId="0" applyFont="1" applyAlignment="1"/>
    <xf numFmtId="4" fontId="3" fillId="0" borderId="1" xfId="0" applyNumberFormat="1" applyFont="1" applyBorder="1" applyAlignment="1">
      <alignment horizontal="center" vertical="center"/>
    </xf>
    <xf numFmtId="4" fontId="3" fillId="5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3" fillId="5" borderId="1" xfId="0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0" fontId="4" fillId="5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4" fontId="3" fillId="5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2BFED-26C1-42C1-9B42-71A78302AB71}">
  <dimension ref="A1:AF64"/>
  <sheetViews>
    <sheetView tabSelected="1" topLeftCell="A7" zoomScale="85" zoomScaleNormal="85" workbookViewId="0">
      <selection activeCell="U54" sqref="U54:AD54"/>
    </sheetView>
  </sheetViews>
  <sheetFormatPr defaultRowHeight="15" x14ac:dyDescent="0.25"/>
  <cols>
    <col min="1" max="1" width="40.28515625" style="4" bestFit="1" customWidth="1"/>
    <col min="2" max="2" width="10.28515625" style="4" hidden="1" customWidth="1"/>
    <col min="3" max="3" width="11" style="4" hidden="1" customWidth="1"/>
    <col min="4" max="4" width="20.85546875" style="4" hidden="1" customWidth="1"/>
    <col min="5" max="5" width="20.140625" style="4" hidden="1" customWidth="1"/>
    <col min="6" max="6" width="21.85546875" style="4" hidden="1" customWidth="1"/>
    <col min="7" max="7" width="11.7109375" style="4" hidden="1" customWidth="1"/>
    <col min="8" max="8" width="9.140625" style="4" hidden="1" customWidth="1"/>
    <col min="9" max="9" width="11" style="4" hidden="1" customWidth="1"/>
    <col min="10" max="10" width="20.5703125" style="4" hidden="1" customWidth="1"/>
    <col min="11" max="11" width="20.28515625" style="4" hidden="1" customWidth="1"/>
    <col min="12" max="12" width="21.85546875" style="4" hidden="1" customWidth="1"/>
    <col min="13" max="13" width="13.140625" style="4" hidden="1" customWidth="1"/>
    <col min="14" max="14" width="9.140625" style="4" hidden="1" customWidth="1"/>
    <col min="15" max="15" width="11" style="4" hidden="1" customWidth="1"/>
    <col min="16" max="17" width="19.85546875" style="4" hidden="1" customWidth="1"/>
    <col min="18" max="18" width="21.85546875" style="4" hidden="1" customWidth="1"/>
    <col min="19" max="19" width="11.7109375" style="4" hidden="1" customWidth="1"/>
    <col min="20" max="20" width="9.42578125" style="4" hidden="1" customWidth="1"/>
    <col min="21" max="21" width="13.140625" style="4" customWidth="1"/>
    <col min="22" max="22" width="14.5703125" style="4" bestFit="1" customWidth="1"/>
    <col min="23" max="23" width="14.140625" style="4" bestFit="1" customWidth="1"/>
    <col min="24" max="25" width="14.28515625" style="4" bestFit="1" customWidth="1"/>
    <col min="26" max="28" width="13.140625" style="4" bestFit="1" customWidth="1"/>
    <col min="29" max="29" width="12.7109375" style="4" customWidth="1"/>
    <col min="30" max="30" width="15.28515625" style="4" customWidth="1"/>
    <col min="31" max="31" width="9.140625" style="4"/>
    <col min="32" max="32" width="10.28515625" style="4" bestFit="1" customWidth="1"/>
    <col min="33" max="16384" width="9.140625" style="4"/>
  </cols>
  <sheetData>
    <row r="1" spans="1:32" ht="18.75" x14ac:dyDescent="0.3">
      <c r="A1" s="74" t="s">
        <v>186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</row>
    <row r="2" spans="1:32" x14ac:dyDescent="0.25">
      <c r="A2" s="81" t="s">
        <v>73</v>
      </c>
      <c r="B2" s="81" t="s">
        <v>68</v>
      </c>
      <c r="C2" s="81"/>
      <c r="D2" s="81"/>
      <c r="E2" s="81"/>
      <c r="F2" s="81"/>
      <c r="G2" s="81"/>
      <c r="H2" s="81" t="s">
        <v>69</v>
      </c>
      <c r="I2" s="81"/>
      <c r="J2" s="81"/>
      <c r="K2" s="81"/>
      <c r="L2" s="81"/>
      <c r="M2" s="81"/>
      <c r="N2" s="81" t="s">
        <v>70</v>
      </c>
      <c r="O2" s="81"/>
      <c r="P2" s="81"/>
      <c r="Q2" s="81"/>
      <c r="R2" s="81"/>
      <c r="S2" s="81"/>
      <c r="T2" s="81"/>
      <c r="U2" s="71" t="s">
        <v>187</v>
      </c>
      <c r="V2" s="71"/>
      <c r="W2" s="71"/>
      <c r="X2" s="71"/>
      <c r="Y2" s="71"/>
      <c r="Z2" s="71" t="s">
        <v>194</v>
      </c>
      <c r="AA2" s="71"/>
      <c r="AB2" s="71"/>
      <c r="AC2" s="71"/>
      <c r="AD2" s="71"/>
    </row>
    <row r="3" spans="1:32" x14ac:dyDescent="0.25">
      <c r="A3" s="81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71"/>
      <c r="V3" s="71"/>
      <c r="W3" s="71"/>
      <c r="X3" s="71"/>
      <c r="Y3" s="71"/>
      <c r="Z3" s="71"/>
      <c r="AA3" s="71"/>
      <c r="AB3" s="71"/>
      <c r="AC3" s="71"/>
      <c r="AD3" s="71"/>
    </row>
    <row r="4" spans="1:32" ht="45" x14ac:dyDescent="0.25">
      <c r="A4" s="81"/>
      <c r="B4" s="8" t="s">
        <v>44</v>
      </c>
      <c r="C4" s="9" t="s">
        <v>106</v>
      </c>
      <c r="D4" s="9" t="s">
        <v>156</v>
      </c>
      <c r="E4" s="9" t="s">
        <v>157</v>
      </c>
      <c r="F4" s="10" t="s">
        <v>78</v>
      </c>
      <c r="G4" s="9" t="s">
        <v>45</v>
      </c>
      <c r="H4" s="8" t="s">
        <v>43</v>
      </c>
      <c r="I4" s="9" t="s">
        <v>106</v>
      </c>
      <c r="J4" s="9" t="s">
        <v>156</v>
      </c>
      <c r="K4" s="9" t="s">
        <v>157</v>
      </c>
      <c r="L4" s="10" t="s">
        <v>78</v>
      </c>
      <c r="M4" s="8" t="s">
        <v>45</v>
      </c>
      <c r="N4" s="8" t="s">
        <v>43</v>
      </c>
      <c r="O4" s="9" t="s">
        <v>106</v>
      </c>
      <c r="P4" s="9" t="s">
        <v>156</v>
      </c>
      <c r="Q4" s="9" t="s">
        <v>157</v>
      </c>
      <c r="R4" s="10" t="s">
        <v>78</v>
      </c>
      <c r="S4" s="8" t="s">
        <v>45</v>
      </c>
      <c r="T4" s="9" t="s">
        <v>53</v>
      </c>
      <c r="U4" s="53" t="s">
        <v>54</v>
      </c>
      <c r="V4" s="53" t="s">
        <v>193</v>
      </c>
      <c r="W4" s="53" t="s">
        <v>190</v>
      </c>
      <c r="X4" s="53" t="s">
        <v>191</v>
      </c>
      <c r="Y4" s="53" t="s">
        <v>192</v>
      </c>
      <c r="Z4" s="53" t="s">
        <v>195</v>
      </c>
      <c r="AA4" s="53" t="s">
        <v>196</v>
      </c>
      <c r="AB4" s="53" t="s">
        <v>197</v>
      </c>
      <c r="AC4" s="53" t="s">
        <v>198</v>
      </c>
      <c r="AD4" s="53" t="s">
        <v>55</v>
      </c>
    </row>
    <row r="5" spans="1:32" ht="28.5" x14ac:dyDescent="0.25">
      <c r="A5" s="11" t="s">
        <v>66</v>
      </c>
      <c r="B5" s="12" t="s">
        <v>42</v>
      </c>
      <c r="C5" s="13">
        <v>7172.8</v>
      </c>
      <c r="D5" s="14" t="s">
        <v>155</v>
      </c>
      <c r="E5" s="14" t="s">
        <v>184</v>
      </c>
      <c r="F5" s="48" t="s">
        <v>185</v>
      </c>
      <c r="G5" s="13">
        <f>SUM(G6:G31)</f>
        <v>623738.29799824115</v>
      </c>
      <c r="H5" s="12" t="s">
        <v>42</v>
      </c>
      <c r="I5" s="13">
        <v>879.2</v>
      </c>
      <c r="J5" s="14">
        <v>92.788219577295166</v>
      </c>
      <c r="K5" s="14">
        <f>SUM(K6:K31)</f>
        <v>102.75056897652703</v>
      </c>
      <c r="L5" s="15">
        <f t="shared" ref="L5:L28" si="0">(K5-J5)/J5</f>
        <v>0.10736653256864094</v>
      </c>
      <c r="M5" s="13">
        <f>SUM(M6:M31)</f>
        <v>90338.300244162572</v>
      </c>
      <c r="N5" s="12" t="s">
        <v>42</v>
      </c>
      <c r="O5" s="13">
        <v>2150.25</v>
      </c>
      <c r="P5" s="14">
        <v>114.9583951873736</v>
      </c>
      <c r="Q5" s="14">
        <f>SUM(Q6:Q31)</f>
        <v>127.76129438790669</v>
      </c>
      <c r="R5" s="15">
        <f>(Q5-P5)/P5</f>
        <v>0.11136984975882207</v>
      </c>
      <c r="S5" s="13">
        <f>SUM(S6:S31)</f>
        <v>274718.72325759637</v>
      </c>
      <c r="T5" s="13">
        <f>SUM(T6:T44)</f>
        <v>3662.916310101285</v>
      </c>
      <c r="U5" s="13">
        <f>SUM(G5+M5+S5)</f>
        <v>988795.32150000008</v>
      </c>
      <c r="V5" s="13">
        <f>SUM(U5)*3</f>
        <v>2966385.9645000002</v>
      </c>
      <c r="W5" s="13">
        <f>SUM(V5)*2</f>
        <v>5932771.9290000005</v>
      </c>
      <c r="X5" s="13">
        <f>SUM(V5)*3</f>
        <v>8899157.8935000002</v>
      </c>
      <c r="Y5" s="13">
        <f>SUM(U5)*12</f>
        <v>11865543.858000001</v>
      </c>
      <c r="Z5" s="13">
        <f>SUM(Z6:Z33)</f>
        <v>3472665.4699999993</v>
      </c>
      <c r="AA5" s="13">
        <f>SUM(AA6:AA33)</f>
        <v>3258381.4399999995</v>
      </c>
      <c r="AB5" s="13">
        <f>SUM(AB6:AB33)</f>
        <v>2490563.2799999998</v>
      </c>
      <c r="AC5" s="13">
        <f>SUM(AC6:AC33)</f>
        <v>0</v>
      </c>
      <c r="AD5" s="13">
        <f>SUM(Z5,AA5,AB5,AC5)</f>
        <v>9221610.1899999976</v>
      </c>
    </row>
    <row r="6" spans="1:32" x14ac:dyDescent="0.25">
      <c r="A6" s="66" t="s">
        <v>30</v>
      </c>
      <c r="B6" s="8" t="s">
        <v>42</v>
      </c>
      <c r="C6" s="16">
        <v>7172.8</v>
      </c>
      <c r="D6" s="37">
        <v>0.83981474674704104</v>
      </c>
      <c r="E6" s="37">
        <f>SUM(U6)/(C6+I6+O6)</f>
        <v>0.10455242716067535</v>
      </c>
      <c r="F6" s="25">
        <f t="shared" ref="F6:F8" si="1">(E6-D6)/D6</f>
        <v>-0.87550536881419228</v>
      </c>
      <c r="G6" s="17">
        <f t="shared" ref="G6:G8" si="2">SUM(C6*E6)</f>
        <v>749.93364953809214</v>
      </c>
      <c r="H6" s="8" t="s">
        <v>42</v>
      </c>
      <c r="I6" s="16">
        <v>879.2</v>
      </c>
      <c r="J6" s="37">
        <v>0.83981474674704104</v>
      </c>
      <c r="K6" s="37">
        <f>SUM(U6)/(C6+I6+O6)</f>
        <v>0.10455242716067535</v>
      </c>
      <c r="L6" s="25">
        <f t="shared" si="0"/>
        <v>-0.87550536881419228</v>
      </c>
      <c r="M6" s="17">
        <f t="shared" ref="M6:M31" si="3">SUM(I6*K6)</f>
        <v>91.922493959665772</v>
      </c>
      <c r="N6" s="8" t="s">
        <v>42</v>
      </c>
      <c r="O6" s="16">
        <v>2150.25</v>
      </c>
      <c r="P6" s="37">
        <v>0.83981474674704104</v>
      </c>
      <c r="Q6" s="37">
        <f>SUM(U6)/(C6+I6+O6)</f>
        <v>0.10455242716067535</v>
      </c>
      <c r="R6" s="25">
        <f t="shared" ref="R6:R8" si="4">(Q6-P6)/P6</f>
        <v>-0.87550536881419228</v>
      </c>
      <c r="S6" s="17">
        <f t="shared" ref="S6:S14" si="5">SUM(O6*Q6)</f>
        <v>224.81385650224217</v>
      </c>
      <c r="T6" s="19">
        <f>SUM(Q6)*28.67</f>
        <v>2.9975180866965627</v>
      </c>
      <c r="U6" s="63">
        <f>SUM(План!C22)</f>
        <v>1066.67</v>
      </c>
      <c r="V6" s="16">
        <f t="shared" ref="V6:V31" si="6">SUM(U6)*3</f>
        <v>3200.01</v>
      </c>
      <c r="W6" s="63">
        <f t="shared" ref="W6:W33" si="7">SUM(V6)*2</f>
        <v>6400.02</v>
      </c>
      <c r="X6" s="16">
        <f t="shared" ref="X6:X33" si="8">SUM(V6)*3</f>
        <v>9600.0300000000007</v>
      </c>
      <c r="Y6" s="13">
        <f t="shared" ref="Y6:Y33" si="9">SUM(U6)*12</f>
        <v>12800.04</v>
      </c>
      <c r="Z6" s="53">
        <v>0</v>
      </c>
      <c r="AA6" s="53">
        <v>0</v>
      </c>
      <c r="AB6" s="59">
        <v>0</v>
      </c>
      <c r="AC6" s="53"/>
      <c r="AD6" s="16">
        <f>SUM(Z6,AA6,AB6,AC6)</f>
        <v>0</v>
      </c>
    </row>
    <row r="7" spans="1:32" x14ac:dyDescent="0.25">
      <c r="A7" s="66" t="s">
        <v>24</v>
      </c>
      <c r="B7" s="58" t="s">
        <v>42</v>
      </c>
      <c r="C7" s="16">
        <v>7172.8</v>
      </c>
      <c r="D7" s="37">
        <v>0.14378004851870912</v>
      </c>
      <c r="E7" s="37">
        <f t="shared" ref="E7:E31" si="10">SUM(U7)/(C7+I7+O7)</f>
        <v>0.15448160944889608</v>
      </c>
      <c r="F7" s="25">
        <f t="shared" si="1"/>
        <v>7.4430082897033054E-2</v>
      </c>
      <c r="G7" s="17">
        <f t="shared" si="2"/>
        <v>1108.0656882550418</v>
      </c>
      <c r="H7" s="58" t="s">
        <v>42</v>
      </c>
      <c r="I7" s="16">
        <v>879.2</v>
      </c>
      <c r="J7" s="37">
        <v>0.14378004851870912</v>
      </c>
      <c r="K7" s="37">
        <f t="shared" ref="K7:K31" si="11">SUM(U7)/(C7+I7+O7)</f>
        <v>0.15448160944889608</v>
      </c>
      <c r="L7" s="25">
        <f t="shared" si="0"/>
        <v>7.4430082897033054E-2</v>
      </c>
      <c r="M7" s="17">
        <f t="shared" si="3"/>
        <v>135.82023102746945</v>
      </c>
      <c r="N7" s="58" t="s">
        <v>42</v>
      </c>
      <c r="O7" s="16">
        <v>2150.25</v>
      </c>
      <c r="P7" s="37">
        <v>0.14378004851870912</v>
      </c>
      <c r="Q7" s="37">
        <f t="shared" ref="Q7:Q31" si="12">SUM(U7)/(C7+I7+O7)</f>
        <v>0.15448160944889608</v>
      </c>
      <c r="R7" s="25">
        <f t="shared" si="4"/>
        <v>7.4430082897033054E-2</v>
      </c>
      <c r="S7" s="17">
        <f t="shared" si="5"/>
        <v>332.17408071748878</v>
      </c>
      <c r="T7" s="59">
        <f t="shared" ref="T7:T8" si="13">SUM(Q7)*28.67</f>
        <v>4.4289877428998512</v>
      </c>
      <c r="U7" s="63">
        <f>SUM(План!C23)</f>
        <v>1576.06</v>
      </c>
      <c r="V7" s="16">
        <f t="shared" si="6"/>
        <v>4728.18</v>
      </c>
      <c r="W7" s="63">
        <f t="shared" si="7"/>
        <v>9456.36</v>
      </c>
      <c r="X7" s="16">
        <f t="shared" si="8"/>
        <v>14184.54</v>
      </c>
      <c r="Y7" s="13">
        <f t="shared" si="9"/>
        <v>18912.72</v>
      </c>
      <c r="Z7" s="59">
        <v>4728.18</v>
      </c>
      <c r="AA7" s="59">
        <v>4728.18</v>
      </c>
      <c r="AB7" s="59">
        <v>4728.18</v>
      </c>
      <c r="AC7" s="59"/>
      <c r="AD7" s="16">
        <f t="shared" ref="AD7:AD33" si="14">SUM(Z7,AA7,AB7,AC7)</f>
        <v>14184.54</v>
      </c>
    </row>
    <row r="8" spans="1:32" x14ac:dyDescent="0.25">
      <c r="A8" s="38" t="s">
        <v>18</v>
      </c>
      <c r="B8" s="8" t="s">
        <v>42</v>
      </c>
      <c r="C8" s="16">
        <v>7172.8</v>
      </c>
      <c r="D8" s="37">
        <v>1.6172903036094979</v>
      </c>
      <c r="E8" s="37">
        <f t="shared" si="10"/>
        <v>1.6172903036094979</v>
      </c>
      <c r="F8" s="25">
        <f t="shared" si="1"/>
        <v>0</v>
      </c>
      <c r="G8" s="17">
        <f t="shared" si="2"/>
        <v>11600.499889730207</v>
      </c>
      <c r="H8" s="8" t="s">
        <v>42</v>
      </c>
      <c r="I8" s="16">
        <v>879.2</v>
      </c>
      <c r="J8" s="37">
        <v>1.6172903036094979</v>
      </c>
      <c r="K8" s="37">
        <f t="shared" si="11"/>
        <v>1.6172903036094979</v>
      </c>
      <c r="L8" s="25">
        <f t="shared" si="0"/>
        <v>0</v>
      </c>
      <c r="M8" s="17">
        <f t="shared" si="3"/>
        <v>1421.9216349334706</v>
      </c>
      <c r="N8" s="8" t="s">
        <v>42</v>
      </c>
      <c r="O8" s="16">
        <v>2150.25</v>
      </c>
      <c r="P8" s="37">
        <v>1.6172903036094979</v>
      </c>
      <c r="Q8" s="37">
        <f t="shared" si="12"/>
        <v>1.6172903036094979</v>
      </c>
      <c r="R8" s="25">
        <f t="shared" si="4"/>
        <v>0</v>
      </c>
      <c r="S8" s="17">
        <f t="shared" si="5"/>
        <v>3477.5784753363228</v>
      </c>
      <c r="T8" s="19">
        <f t="shared" si="13"/>
        <v>46.367713004484308</v>
      </c>
      <c r="U8" s="63">
        <f>SUM(План!C24)</f>
        <v>16500</v>
      </c>
      <c r="V8" s="16">
        <f t="shared" si="6"/>
        <v>49500</v>
      </c>
      <c r="W8" s="63">
        <f t="shared" si="7"/>
        <v>99000</v>
      </c>
      <c r="X8" s="16">
        <f t="shared" si="8"/>
        <v>148500</v>
      </c>
      <c r="Y8" s="13">
        <f t="shared" si="9"/>
        <v>198000</v>
      </c>
      <c r="Z8" s="53">
        <v>45000</v>
      </c>
      <c r="AA8" s="59">
        <v>45000</v>
      </c>
      <c r="AB8" s="59">
        <v>45000</v>
      </c>
      <c r="AC8" s="53"/>
      <c r="AD8" s="16">
        <f t="shared" si="14"/>
        <v>135000</v>
      </c>
    </row>
    <row r="9" spans="1:32" x14ac:dyDescent="0.25">
      <c r="A9" s="38" t="s">
        <v>22</v>
      </c>
      <c r="B9" s="8" t="s">
        <v>42</v>
      </c>
      <c r="C9" s="16">
        <v>7172.8</v>
      </c>
      <c r="D9" s="37">
        <v>1.2187870322722929</v>
      </c>
      <c r="E9" s="37">
        <f t="shared" si="10"/>
        <v>1.4794128746109927</v>
      </c>
      <c r="F9" s="25">
        <f t="shared" ref="F9:F31" si="15">(E9-D9)/D9</f>
        <v>0.21384034735977778</v>
      </c>
      <c r="G9" s="17">
        <f t="shared" ref="G9:G31" si="16">SUM(C9*E9)</f>
        <v>10611.532667009729</v>
      </c>
      <c r="H9" s="8" t="s">
        <v>42</v>
      </c>
      <c r="I9" s="16">
        <v>879.2</v>
      </c>
      <c r="J9" s="37">
        <v>1.2187870322722929</v>
      </c>
      <c r="K9" s="37">
        <f t="shared" si="11"/>
        <v>1.4794128746109927</v>
      </c>
      <c r="L9" s="25">
        <f t="shared" si="0"/>
        <v>0.21384034735977778</v>
      </c>
      <c r="M9" s="17">
        <f t="shared" si="3"/>
        <v>1300.6997993579848</v>
      </c>
      <c r="N9" s="8" t="s">
        <v>42</v>
      </c>
      <c r="O9" s="16">
        <v>2150.25</v>
      </c>
      <c r="P9" s="37">
        <v>1.2187870322722929</v>
      </c>
      <c r="Q9" s="37">
        <f t="shared" si="12"/>
        <v>1.4794128746109927</v>
      </c>
      <c r="R9" s="25">
        <f t="shared" ref="R9:R14" si="17">(Q9-P9)/P9</f>
        <v>0.21384034735977778</v>
      </c>
      <c r="S9" s="17">
        <f t="shared" si="5"/>
        <v>3181.107533632287</v>
      </c>
      <c r="T9" s="19">
        <f t="shared" ref="T9:T15" si="18">SUM(Q9)*28.67</f>
        <v>42.414767115097163</v>
      </c>
      <c r="U9" s="63">
        <f>SUM(План!C25)</f>
        <v>15093.34</v>
      </c>
      <c r="V9" s="16">
        <f t="shared" si="6"/>
        <v>45280.020000000004</v>
      </c>
      <c r="W9" s="63">
        <f t="shared" si="7"/>
        <v>90560.040000000008</v>
      </c>
      <c r="X9" s="16">
        <f t="shared" si="8"/>
        <v>135840.06</v>
      </c>
      <c r="Y9" s="13">
        <f t="shared" si="9"/>
        <v>181120.08000000002</v>
      </c>
      <c r="Z9" s="53">
        <v>44140.74</v>
      </c>
      <c r="AA9" s="53">
        <v>44140.74</v>
      </c>
      <c r="AB9" s="53">
        <v>62385.56</v>
      </c>
      <c r="AC9" s="68"/>
      <c r="AD9" s="16">
        <f t="shared" si="14"/>
        <v>150667.03999999998</v>
      </c>
    </row>
    <row r="10" spans="1:32" ht="30" x14ac:dyDescent="0.25">
      <c r="A10" s="38" t="s">
        <v>56</v>
      </c>
      <c r="B10" s="8" t="s">
        <v>42</v>
      </c>
      <c r="C10" s="16">
        <v>7172.8</v>
      </c>
      <c r="D10" s="37">
        <v>14.783814027951349</v>
      </c>
      <c r="E10" s="37">
        <f t="shared" si="10"/>
        <v>16.549045553676883</v>
      </c>
      <c r="F10" s="25">
        <f t="shared" si="15"/>
        <v>0.11940298507462686</v>
      </c>
      <c r="G10" s="17">
        <f t="shared" si="16"/>
        <v>118702.99394741355</v>
      </c>
      <c r="H10" s="8" t="s">
        <v>42</v>
      </c>
      <c r="I10" s="16">
        <v>879.2</v>
      </c>
      <c r="J10" s="37">
        <v>14.783814027951349</v>
      </c>
      <c r="K10" s="37">
        <f t="shared" si="11"/>
        <v>16.549045553676883</v>
      </c>
      <c r="L10" s="25">
        <f t="shared" si="0"/>
        <v>0.11940298507462686</v>
      </c>
      <c r="M10" s="17">
        <f t="shared" si="3"/>
        <v>14549.920850792716</v>
      </c>
      <c r="N10" s="8" t="s">
        <v>42</v>
      </c>
      <c r="O10" s="16">
        <v>2150.25</v>
      </c>
      <c r="P10" s="37">
        <v>14.783814027951349</v>
      </c>
      <c r="Q10" s="37">
        <f t="shared" si="12"/>
        <v>16.549045553676883</v>
      </c>
      <c r="R10" s="25">
        <f t="shared" si="17"/>
        <v>0.11940298507462686</v>
      </c>
      <c r="S10" s="17">
        <f t="shared" si="5"/>
        <v>35584.585201793721</v>
      </c>
      <c r="T10" s="19">
        <f t="shared" si="18"/>
        <v>474.46113602391625</v>
      </c>
      <c r="U10" s="63">
        <f>SUM(План!C8)</f>
        <v>168837.5</v>
      </c>
      <c r="V10" s="16">
        <f t="shared" si="6"/>
        <v>506512.5</v>
      </c>
      <c r="W10" s="63">
        <f t="shared" si="7"/>
        <v>1013025</v>
      </c>
      <c r="X10" s="16">
        <f t="shared" si="8"/>
        <v>1519537.5</v>
      </c>
      <c r="Y10" s="13">
        <f t="shared" si="9"/>
        <v>2026050</v>
      </c>
      <c r="Z10" s="53">
        <v>554550.67000000004</v>
      </c>
      <c r="AA10" s="53">
        <v>388652.17</v>
      </c>
      <c r="AB10" s="53">
        <v>466320.39</v>
      </c>
      <c r="AC10" s="53"/>
      <c r="AD10" s="16">
        <f t="shared" si="14"/>
        <v>1409523.23</v>
      </c>
      <c r="AF10" s="69"/>
    </row>
    <row r="11" spans="1:32" ht="30" x14ac:dyDescent="0.25">
      <c r="A11" s="38" t="s">
        <v>12</v>
      </c>
      <c r="B11" s="8" t="s">
        <v>42</v>
      </c>
      <c r="C11" s="16">
        <v>7172.8</v>
      </c>
      <c r="D11" s="37">
        <v>11.797712105989691</v>
      </c>
      <c r="E11" s="37">
        <f t="shared" si="10"/>
        <v>13.206637424751076</v>
      </c>
      <c r="F11" s="25">
        <f t="shared" si="15"/>
        <v>0.11942360570453951</v>
      </c>
      <c r="G11" s="17">
        <f t="shared" si="16"/>
        <v>94728.568920254518</v>
      </c>
      <c r="H11" s="8" t="s">
        <v>42</v>
      </c>
      <c r="I11" s="16">
        <v>879.2</v>
      </c>
      <c r="J11" s="37">
        <v>11.797712105989691</v>
      </c>
      <c r="K11" s="37">
        <f t="shared" si="11"/>
        <v>13.206637424751076</v>
      </c>
      <c r="L11" s="25">
        <f t="shared" si="0"/>
        <v>0.11942360570453951</v>
      </c>
      <c r="M11" s="17">
        <f t="shared" si="3"/>
        <v>11611.275623841146</v>
      </c>
      <c r="N11" s="8" t="s">
        <v>42</v>
      </c>
      <c r="O11" s="16">
        <v>2150.25</v>
      </c>
      <c r="P11" s="37">
        <v>11.797712105989691</v>
      </c>
      <c r="Q11" s="37">
        <f t="shared" si="12"/>
        <v>13.206637424751076</v>
      </c>
      <c r="R11" s="25">
        <f t="shared" si="17"/>
        <v>0.11942360570453951</v>
      </c>
      <c r="S11" s="17">
        <f t="shared" si="5"/>
        <v>28397.572122571</v>
      </c>
      <c r="T11" s="19">
        <f t="shared" si="18"/>
        <v>378.63429496761336</v>
      </c>
      <c r="U11" s="63">
        <f>SUM(План!C26)</f>
        <v>134737.41666666666</v>
      </c>
      <c r="V11" s="16">
        <f t="shared" si="6"/>
        <v>404212.25</v>
      </c>
      <c r="W11" s="63">
        <f t="shared" si="7"/>
        <v>808424.5</v>
      </c>
      <c r="X11" s="16">
        <f t="shared" si="8"/>
        <v>1212636.75</v>
      </c>
      <c r="Y11" s="13">
        <f t="shared" si="9"/>
        <v>1616849</v>
      </c>
      <c r="Z11" s="53">
        <v>416516.2</v>
      </c>
      <c r="AA11" s="53">
        <v>323301.13</v>
      </c>
      <c r="AB11" s="53">
        <v>369728</v>
      </c>
      <c r="AC11" s="53"/>
      <c r="AD11" s="16">
        <f t="shared" si="14"/>
        <v>1109545.33</v>
      </c>
    </row>
    <row r="12" spans="1:32" x14ac:dyDescent="0.25">
      <c r="A12" s="38" t="s">
        <v>58</v>
      </c>
      <c r="B12" s="8" t="s">
        <v>42</v>
      </c>
      <c r="C12" s="16">
        <v>7172.8</v>
      </c>
      <c r="D12" s="37">
        <v>0.82334779092847166</v>
      </c>
      <c r="E12" s="37">
        <f t="shared" si="10"/>
        <v>0.82334779092847166</v>
      </c>
      <c r="F12" s="25">
        <f t="shared" si="15"/>
        <v>0</v>
      </c>
      <c r="G12" s="17">
        <f t="shared" si="16"/>
        <v>5905.7090347717412</v>
      </c>
      <c r="H12" s="8" t="s">
        <v>42</v>
      </c>
      <c r="I12" s="16">
        <v>879.2</v>
      </c>
      <c r="J12" s="37">
        <v>0.82334779092847166</v>
      </c>
      <c r="K12" s="37">
        <f t="shared" si="11"/>
        <v>0.82334779092847166</v>
      </c>
      <c r="L12" s="25">
        <f t="shared" si="0"/>
        <v>0</v>
      </c>
      <c r="M12" s="17">
        <f t="shared" si="3"/>
        <v>723.88737778431232</v>
      </c>
      <c r="N12" s="8" t="s">
        <v>42</v>
      </c>
      <c r="O12" s="16">
        <v>2150.25</v>
      </c>
      <c r="P12" s="37">
        <v>0.82334779092847166</v>
      </c>
      <c r="Q12" s="37">
        <f t="shared" si="12"/>
        <v>0.82334779092847166</v>
      </c>
      <c r="R12" s="25">
        <f t="shared" si="17"/>
        <v>0</v>
      </c>
      <c r="S12" s="17">
        <f t="shared" si="5"/>
        <v>1770.4035874439462</v>
      </c>
      <c r="T12" s="19">
        <f t="shared" si="18"/>
        <v>23.605381165919283</v>
      </c>
      <c r="U12" s="63">
        <f>SUM(План!C9)</f>
        <v>8400</v>
      </c>
      <c r="V12" s="16">
        <f t="shared" si="6"/>
        <v>25200</v>
      </c>
      <c r="W12" s="63">
        <f t="shared" si="7"/>
        <v>50400</v>
      </c>
      <c r="X12" s="16">
        <f t="shared" si="8"/>
        <v>75600</v>
      </c>
      <c r="Y12" s="13">
        <f t="shared" si="9"/>
        <v>100800</v>
      </c>
      <c r="Z12" s="53">
        <v>9439</v>
      </c>
      <c r="AA12" s="53">
        <v>68498</v>
      </c>
      <c r="AB12" s="53">
        <v>52498</v>
      </c>
      <c r="AC12" s="53"/>
      <c r="AD12" s="16">
        <f t="shared" si="14"/>
        <v>130435</v>
      </c>
    </row>
    <row r="13" spans="1:32" ht="30" x14ac:dyDescent="0.25">
      <c r="A13" s="38" t="s">
        <v>5</v>
      </c>
      <c r="B13" s="8" t="s">
        <v>42</v>
      </c>
      <c r="C13" s="16">
        <v>7172.8</v>
      </c>
      <c r="D13" s="37">
        <v>7.3513195618613539E-2</v>
      </c>
      <c r="E13" s="37">
        <f t="shared" si="10"/>
        <v>7.3513195618613539E-2</v>
      </c>
      <c r="F13" s="25">
        <f t="shared" si="15"/>
        <v>0</v>
      </c>
      <c r="G13" s="17">
        <f t="shared" si="16"/>
        <v>527.29544953319123</v>
      </c>
      <c r="H13" s="8" t="s">
        <v>42</v>
      </c>
      <c r="I13" s="16">
        <v>879.2</v>
      </c>
      <c r="J13" s="37">
        <v>7.3513195618613539E-2</v>
      </c>
      <c r="K13" s="37">
        <f t="shared" si="11"/>
        <v>7.3513195618613539E-2</v>
      </c>
      <c r="L13" s="25">
        <f t="shared" si="0"/>
        <v>0</v>
      </c>
      <c r="M13" s="17">
        <f t="shared" si="3"/>
        <v>64.632801587885027</v>
      </c>
      <c r="N13" s="8" t="s">
        <v>42</v>
      </c>
      <c r="O13" s="16">
        <v>2150.25</v>
      </c>
      <c r="P13" s="37">
        <v>7.3513195618613539E-2</v>
      </c>
      <c r="Q13" s="37">
        <f t="shared" si="12"/>
        <v>7.3513195618613539E-2</v>
      </c>
      <c r="R13" s="25">
        <f t="shared" si="17"/>
        <v>0</v>
      </c>
      <c r="S13" s="17">
        <f t="shared" si="5"/>
        <v>158.07174887892376</v>
      </c>
      <c r="T13" s="19">
        <f t="shared" si="18"/>
        <v>2.1076233183856501</v>
      </c>
      <c r="U13" s="63">
        <f>SUM(План!C10)</f>
        <v>750</v>
      </c>
      <c r="V13" s="16">
        <f t="shared" si="6"/>
        <v>2250</v>
      </c>
      <c r="W13" s="63">
        <f t="shared" si="7"/>
        <v>4500</v>
      </c>
      <c r="X13" s="16">
        <f t="shared" si="8"/>
        <v>6750</v>
      </c>
      <c r="Y13" s="13">
        <f t="shared" si="9"/>
        <v>9000</v>
      </c>
      <c r="Z13" s="53">
        <v>0</v>
      </c>
      <c r="AA13" s="53">
        <v>0</v>
      </c>
      <c r="AB13" s="53">
        <v>5055</v>
      </c>
      <c r="AC13" s="53"/>
      <c r="AD13" s="16">
        <f t="shared" si="14"/>
        <v>5055</v>
      </c>
    </row>
    <row r="14" spans="1:32" ht="30" x14ac:dyDescent="0.25">
      <c r="A14" s="38" t="s">
        <v>49</v>
      </c>
      <c r="B14" s="8" t="s">
        <v>42</v>
      </c>
      <c r="C14" s="16">
        <v>7172.8</v>
      </c>
      <c r="D14" s="37">
        <v>0.51459236933029484</v>
      </c>
      <c r="E14" s="37">
        <f t="shared" si="10"/>
        <v>0.51459236933029484</v>
      </c>
      <c r="F14" s="25">
        <f t="shared" si="15"/>
        <v>0</v>
      </c>
      <c r="G14" s="20">
        <f t="shared" si="16"/>
        <v>3691.0681467323388</v>
      </c>
      <c r="H14" s="8" t="s">
        <v>42</v>
      </c>
      <c r="I14" s="16">
        <v>879.2</v>
      </c>
      <c r="J14" s="37">
        <v>0.51459236933029484</v>
      </c>
      <c r="K14" s="37">
        <f t="shared" si="11"/>
        <v>0.51459236933029484</v>
      </c>
      <c r="L14" s="25">
        <f t="shared" si="0"/>
        <v>0</v>
      </c>
      <c r="M14" s="17">
        <f t="shared" si="3"/>
        <v>452.42961111519526</v>
      </c>
      <c r="N14" s="8" t="s">
        <v>42</v>
      </c>
      <c r="O14" s="16">
        <v>2150.25</v>
      </c>
      <c r="P14" s="37">
        <v>0.51459236933029484</v>
      </c>
      <c r="Q14" s="37">
        <f t="shared" si="12"/>
        <v>0.51459236933029484</v>
      </c>
      <c r="R14" s="25">
        <f t="shared" si="17"/>
        <v>0</v>
      </c>
      <c r="S14" s="17">
        <f t="shared" si="5"/>
        <v>1106.5022421524666</v>
      </c>
      <c r="T14" s="19">
        <f t="shared" si="18"/>
        <v>14.753363228699554</v>
      </c>
      <c r="U14" s="63">
        <f>SUM(План!C27)</f>
        <v>5250</v>
      </c>
      <c r="V14" s="16">
        <f t="shared" si="6"/>
        <v>15750</v>
      </c>
      <c r="W14" s="63">
        <f t="shared" si="7"/>
        <v>31500</v>
      </c>
      <c r="X14" s="16">
        <f t="shared" si="8"/>
        <v>47250</v>
      </c>
      <c r="Y14" s="13">
        <f t="shared" si="9"/>
        <v>63000</v>
      </c>
      <c r="Z14" s="53">
        <v>0</v>
      </c>
      <c r="AA14" s="53">
        <v>1496</v>
      </c>
      <c r="AB14" s="53">
        <v>14192</v>
      </c>
      <c r="AC14" s="53"/>
      <c r="AD14" s="16">
        <f t="shared" si="14"/>
        <v>15688</v>
      </c>
    </row>
    <row r="15" spans="1:32" x14ac:dyDescent="0.25">
      <c r="A15" s="38" t="s">
        <v>81</v>
      </c>
      <c r="B15" s="8" t="s">
        <v>42</v>
      </c>
      <c r="C15" s="16">
        <v>7172.8</v>
      </c>
      <c r="D15" s="37">
        <v>0</v>
      </c>
      <c r="E15" s="37">
        <f t="shared" si="10"/>
        <v>0.49008797079075694</v>
      </c>
      <c r="F15" s="25"/>
      <c r="G15" s="20">
        <f t="shared" si="16"/>
        <v>3515.3029968879414</v>
      </c>
      <c r="H15" s="8" t="s">
        <v>42</v>
      </c>
      <c r="I15" s="16">
        <v>879.2</v>
      </c>
      <c r="J15" s="37">
        <v>0</v>
      </c>
      <c r="K15" s="37">
        <f t="shared" si="11"/>
        <v>0.49008797079075694</v>
      </c>
      <c r="L15" s="25"/>
      <c r="M15" s="17">
        <f t="shared" si="3"/>
        <v>430.88534391923355</v>
      </c>
      <c r="N15" s="8" t="s">
        <v>42</v>
      </c>
      <c r="O15" s="16">
        <v>2150.25</v>
      </c>
      <c r="P15" s="37">
        <v>0</v>
      </c>
      <c r="Q15" s="37">
        <f t="shared" si="12"/>
        <v>0.49008797079075694</v>
      </c>
      <c r="R15" s="25"/>
      <c r="S15" s="17">
        <f t="shared" ref="S15" si="19">SUM(O15*Q15)</f>
        <v>1053.8116591928251</v>
      </c>
      <c r="T15" s="19">
        <f t="shared" si="18"/>
        <v>14.050822122571002</v>
      </c>
      <c r="U15" s="63">
        <f>SUM(План!C28)</f>
        <v>5000</v>
      </c>
      <c r="V15" s="16">
        <f t="shared" si="6"/>
        <v>15000</v>
      </c>
      <c r="W15" s="63">
        <f t="shared" si="7"/>
        <v>30000</v>
      </c>
      <c r="X15" s="16">
        <f t="shared" si="8"/>
        <v>45000</v>
      </c>
      <c r="Y15" s="13">
        <f t="shared" si="9"/>
        <v>60000</v>
      </c>
      <c r="Z15" s="53">
        <v>0</v>
      </c>
      <c r="AA15" s="53">
        <v>0</v>
      </c>
      <c r="AB15" s="53">
        <v>0</v>
      </c>
      <c r="AC15" s="53"/>
      <c r="AD15" s="16">
        <f t="shared" si="14"/>
        <v>0</v>
      </c>
    </row>
    <row r="16" spans="1:32" x14ac:dyDescent="0.25">
      <c r="A16" s="38" t="s">
        <v>64</v>
      </c>
      <c r="B16" s="8" t="s">
        <v>42</v>
      </c>
      <c r="C16" s="16">
        <v>7172.8</v>
      </c>
      <c r="D16" s="37">
        <v>2.3286140089418779</v>
      </c>
      <c r="E16" s="37">
        <f>SUM(U16)/(C16+I16)</f>
        <v>2.3286140089418779</v>
      </c>
      <c r="F16" s="25">
        <f t="shared" si="15"/>
        <v>0</v>
      </c>
      <c r="G16" s="20">
        <f t="shared" si="16"/>
        <v>16702.682563338301</v>
      </c>
      <c r="H16" s="8" t="s">
        <v>42</v>
      </c>
      <c r="I16" s="16">
        <v>879.2</v>
      </c>
      <c r="J16" s="37">
        <v>2.3286140089418779</v>
      </c>
      <c r="K16" s="37">
        <f>SUM(U16)/(C16+I16)</f>
        <v>2.3286140089418779</v>
      </c>
      <c r="L16" s="25">
        <f t="shared" si="0"/>
        <v>0</v>
      </c>
      <c r="M16" s="20">
        <f t="shared" si="3"/>
        <v>2047.317436661699</v>
      </c>
      <c r="N16" s="8" t="s">
        <v>42</v>
      </c>
      <c r="O16" s="16">
        <v>2150.25</v>
      </c>
      <c r="P16" s="37"/>
      <c r="Q16" s="37"/>
      <c r="R16" s="25"/>
      <c r="S16" s="20"/>
      <c r="T16" s="19"/>
      <c r="U16" s="63">
        <f>SUM(План!C29)</f>
        <v>18750</v>
      </c>
      <c r="V16" s="16">
        <f t="shared" si="6"/>
        <v>56250</v>
      </c>
      <c r="W16" s="63">
        <f t="shared" si="7"/>
        <v>112500</v>
      </c>
      <c r="X16" s="16">
        <f t="shared" si="8"/>
        <v>168750</v>
      </c>
      <c r="Y16" s="13">
        <f t="shared" si="9"/>
        <v>225000</v>
      </c>
      <c r="Z16" s="53">
        <v>97541.07</v>
      </c>
      <c r="AA16" s="53">
        <v>29885.7</v>
      </c>
      <c r="AB16" s="53">
        <v>14724</v>
      </c>
      <c r="AC16" s="53"/>
      <c r="AD16" s="16">
        <f t="shared" si="14"/>
        <v>142150.77000000002</v>
      </c>
    </row>
    <row r="17" spans="1:30" x14ac:dyDescent="0.25">
      <c r="A17" s="38" t="s">
        <v>46</v>
      </c>
      <c r="B17" s="8" t="s">
        <v>42</v>
      </c>
      <c r="C17" s="16">
        <v>7172.8</v>
      </c>
      <c r="D17" s="37">
        <v>4.4647118364413076</v>
      </c>
      <c r="E17" s="37">
        <f t="shared" si="10"/>
        <v>4.9978117572104193</v>
      </c>
      <c r="F17" s="25">
        <f t="shared" si="15"/>
        <v>0.11940298507462692</v>
      </c>
      <c r="G17" s="17">
        <f t="shared" si="16"/>
        <v>35848.304172118893</v>
      </c>
      <c r="H17" s="8" t="s">
        <v>42</v>
      </c>
      <c r="I17" s="16">
        <v>879.2</v>
      </c>
      <c r="J17" s="37">
        <v>4.4647118364413076</v>
      </c>
      <c r="K17" s="37">
        <f t="shared" si="11"/>
        <v>4.9978117572104193</v>
      </c>
      <c r="L17" s="25">
        <f t="shared" si="0"/>
        <v>0.11940298507462692</v>
      </c>
      <c r="M17" s="17">
        <f t="shared" si="3"/>
        <v>4394.0760969394005</v>
      </c>
      <c r="N17" s="8" t="s">
        <v>42</v>
      </c>
      <c r="O17" s="16">
        <v>2150.25</v>
      </c>
      <c r="P17" s="37">
        <v>4.4647118364413076</v>
      </c>
      <c r="Q17" s="37">
        <f t="shared" si="12"/>
        <v>4.9978117572104193</v>
      </c>
      <c r="R17" s="25">
        <f t="shared" ref="R17:R28" si="20">(Q17-P17)/P17</f>
        <v>0.11940298507462692</v>
      </c>
      <c r="S17" s="17">
        <f t="shared" ref="S17:S23" si="21">SUM(O17*Q17)</f>
        <v>10746.544730941703</v>
      </c>
      <c r="T17" s="19">
        <f t="shared" ref="T17:T28" si="22">SUM(Q17)*28.67</f>
        <v>143.28726307922273</v>
      </c>
      <c r="U17" s="63">
        <f>SUM(План!C11)</f>
        <v>50988.924999999996</v>
      </c>
      <c r="V17" s="16">
        <f t="shared" si="6"/>
        <v>152966.77499999999</v>
      </c>
      <c r="W17" s="63">
        <f t="shared" si="7"/>
        <v>305933.55</v>
      </c>
      <c r="X17" s="16">
        <f t="shared" si="8"/>
        <v>458900.32499999995</v>
      </c>
      <c r="Y17" s="13">
        <f t="shared" si="9"/>
        <v>611867.1</v>
      </c>
      <c r="Z17" s="53">
        <v>167474.31</v>
      </c>
      <c r="AA17" s="53">
        <v>117372.96</v>
      </c>
      <c r="AB17" s="53">
        <v>140828.75</v>
      </c>
      <c r="AC17" s="53"/>
      <c r="AD17" s="16">
        <f t="shared" si="14"/>
        <v>425676.02</v>
      </c>
    </row>
    <row r="18" spans="1:30" ht="30" x14ac:dyDescent="0.25">
      <c r="A18" s="38" t="s">
        <v>47</v>
      </c>
      <c r="B18" s="8" t="s">
        <v>42</v>
      </c>
      <c r="C18" s="16">
        <v>7172.8</v>
      </c>
      <c r="D18" s="37">
        <v>3.5629090560088867</v>
      </c>
      <c r="E18" s="37">
        <f t="shared" si="10"/>
        <v>3.9884045022748249</v>
      </c>
      <c r="F18" s="25">
        <f t="shared" si="15"/>
        <v>0.11942360570453946</v>
      </c>
      <c r="G18" s="17">
        <f t="shared" si="16"/>
        <v>28608.027813916866</v>
      </c>
      <c r="H18" s="8" t="s">
        <v>42</v>
      </c>
      <c r="I18" s="16">
        <v>879.2</v>
      </c>
      <c r="J18" s="37">
        <v>3.5629090560088867</v>
      </c>
      <c r="K18" s="37">
        <f t="shared" si="11"/>
        <v>3.9884045022748249</v>
      </c>
      <c r="L18" s="25">
        <f t="shared" si="0"/>
        <v>0.11942360570453946</v>
      </c>
      <c r="M18" s="17">
        <f t="shared" si="3"/>
        <v>3506.6052384000263</v>
      </c>
      <c r="N18" s="8" t="s">
        <v>42</v>
      </c>
      <c r="O18" s="16">
        <v>2150.25</v>
      </c>
      <c r="P18" s="37">
        <v>3.5629090560088867</v>
      </c>
      <c r="Q18" s="37">
        <f t="shared" si="12"/>
        <v>3.9884045022748249</v>
      </c>
      <c r="R18" s="25">
        <f t="shared" si="20"/>
        <v>0.11942360570453946</v>
      </c>
      <c r="S18" s="17">
        <f t="shared" si="21"/>
        <v>8576.0667810164414</v>
      </c>
      <c r="T18" s="19">
        <f t="shared" si="22"/>
        <v>114.34755708021923</v>
      </c>
      <c r="U18" s="63">
        <f>SUM(План!C30)</f>
        <v>40690.699833333332</v>
      </c>
      <c r="V18" s="16">
        <f t="shared" si="6"/>
        <v>122072.0995</v>
      </c>
      <c r="W18" s="63">
        <f t="shared" si="7"/>
        <v>244144.19899999999</v>
      </c>
      <c r="X18" s="16">
        <f t="shared" si="8"/>
        <v>366216.29849999998</v>
      </c>
      <c r="Y18" s="13">
        <f t="shared" si="9"/>
        <v>488288.39799999999</v>
      </c>
      <c r="Z18" s="53">
        <v>125514.65</v>
      </c>
      <c r="AA18" s="59">
        <v>72087.25</v>
      </c>
      <c r="AB18" s="53">
        <v>98746.39</v>
      </c>
      <c r="AC18" s="53"/>
      <c r="AD18" s="16">
        <f t="shared" si="14"/>
        <v>296348.28999999998</v>
      </c>
    </row>
    <row r="19" spans="1:30" x14ac:dyDescent="0.25">
      <c r="A19" s="38" t="s">
        <v>20</v>
      </c>
      <c r="B19" s="8" t="s">
        <v>42</v>
      </c>
      <c r="C19" s="16">
        <v>7172.8</v>
      </c>
      <c r="D19" s="37">
        <v>11.419180794111085</v>
      </c>
      <c r="E19" s="37">
        <f>SUM((S19)*81.5%)/C19</f>
        <v>12.686653050412669</v>
      </c>
      <c r="F19" s="25">
        <f t="shared" si="15"/>
        <v>0.11099502487562193</v>
      </c>
      <c r="G19" s="17">
        <f t="shared" si="16"/>
        <v>90998.824999999997</v>
      </c>
      <c r="H19" s="8" t="s">
        <v>42</v>
      </c>
      <c r="I19" s="16">
        <v>879.2</v>
      </c>
      <c r="J19" s="37">
        <v>21.14706551410373</v>
      </c>
      <c r="K19" s="37">
        <f>SUM((S19)*18.5%)/I19</f>
        <v>23.494284576888077</v>
      </c>
      <c r="L19" s="25">
        <f t="shared" si="0"/>
        <v>0.11099502487562181</v>
      </c>
      <c r="M19" s="17">
        <f t="shared" si="3"/>
        <v>20656.174999999999</v>
      </c>
      <c r="N19" s="8" t="s">
        <v>42</v>
      </c>
      <c r="O19" s="16">
        <v>2150.25</v>
      </c>
      <c r="P19" s="37">
        <v>46.738751307987442</v>
      </c>
      <c r="Q19" s="37">
        <f>SUM(U19/2)/O19</f>
        <v>51.926520172073012</v>
      </c>
      <c r="R19" s="25">
        <f t="shared" si="20"/>
        <v>0.11099502487562185</v>
      </c>
      <c r="S19" s="17">
        <f>SUM(O19*Q19)</f>
        <v>111655</v>
      </c>
      <c r="T19" s="19">
        <f t="shared" si="22"/>
        <v>1488.7333333333333</v>
      </c>
      <c r="U19" s="63">
        <f>SUM(План!C31)</f>
        <v>223310</v>
      </c>
      <c r="V19" s="16">
        <f t="shared" si="6"/>
        <v>669930</v>
      </c>
      <c r="W19" s="63">
        <f t="shared" si="7"/>
        <v>1339860</v>
      </c>
      <c r="X19" s="16">
        <f t="shared" si="8"/>
        <v>2009790</v>
      </c>
      <c r="Y19" s="13">
        <f t="shared" si="9"/>
        <v>2679720</v>
      </c>
      <c r="Z19" s="53">
        <v>591480</v>
      </c>
      <c r="AA19" s="53">
        <v>686880</v>
      </c>
      <c r="AB19" s="53">
        <v>686880</v>
      </c>
      <c r="AC19" s="53"/>
      <c r="AD19" s="16">
        <f t="shared" si="14"/>
        <v>1965240</v>
      </c>
    </row>
    <row r="20" spans="1:30" x14ac:dyDescent="0.25">
      <c r="A20" s="38" t="s">
        <v>9</v>
      </c>
      <c r="B20" s="8" t="s">
        <v>42</v>
      </c>
      <c r="C20" s="16">
        <v>7172.8</v>
      </c>
      <c r="D20" s="37">
        <v>8.576539488838246E-2</v>
      </c>
      <c r="E20" s="37">
        <f t="shared" si="10"/>
        <v>8.576539488838246E-2</v>
      </c>
      <c r="F20" s="25">
        <f t="shared" si="15"/>
        <v>0</v>
      </c>
      <c r="G20" s="17">
        <f t="shared" si="16"/>
        <v>615.17802445538973</v>
      </c>
      <c r="H20" s="8" t="s">
        <v>42</v>
      </c>
      <c r="I20" s="16">
        <v>879.2</v>
      </c>
      <c r="J20" s="37">
        <v>8.576539488838246E-2</v>
      </c>
      <c r="K20" s="37">
        <f t="shared" si="11"/>
        <v>8.576539488838246E-2</v>
      </c>
      <c r="L20" s="25">
        <f t="shared" si="0"/>
        <v>0</v>
      </c>
      <c r="M20" s="17">
        <f t="shared" si="3"/>
        <v>75.404935185865867</v>
      </c>
      <c r="N20" s="8" t="s">
        <v>42</v>
      </c>
      <c r="O20" s="16">
        <v>2150.25</v>
      </c>
      <c r="P20" s="37">
        <v>8.576539488838246E-2</v>
      </c>
      <c r="Q20" s="37">
        <f t="shared" si="12"/>
        <v>8.576539488838246E-2</v>
      </c>
      <c r="R20" s="25">
        <f t="shared" si="20"/>
        <v>0</v>
      </c>
      <c r="S20" s="17">
        <f t="shared" si="21"/>
        <v>184.41704035874437</v>
      </c>
      <c r="T20" s="19">
        <f t="shared" si="22"/>
        <v>2.4588938714499253</v>
      </c>
      <c r="U20" s="63">
        <f>SUM(План!C12)</f>
        <v>875</v>
      </c>
      <c r="V20" s="16">
        <f t="shared" si="6"/>
        <v>2625</v>
      </c>
      <c r="W20" s="63">
        <f t="shared" si="7"/>
        <v>5250</v>
      </c>
      <c r="X20" s="16">
        <f t="shared" si="8"/>
        <v>7875</v>
      </c>
      <c r="Y20" s="13">
        <f t="shared" si="9"/>
        <v>10500</v>
      </c>
      <c r="Z20" s="53">
        <v>0</v>
      </c>
      <c r="AA20" s="53">
        <v>0</v>
      </c>
      <c r="AB20" s="53">
        <v>14700</v>
      </c>
      <c r="AC20" s="53"/>
      <c r="AD20" s="16">
        <f t="shared" si="14"/>
        <v>14700</v>
      </c>
    </row>
    <row r="21" spans="1:30" x14ac:dyDescent="0.25">
      <c r="A21" s="38" t="s">
        <v>10</v>
      </c>
      <c r="B21" s="8" t="s">
        <v>42</v>
      </c>
      <c r="C21" s="16">
        <v>7172.8</v>
      </c>
      <c r="D21" s="37">
        <v>1.6172903036094979</v>
      </c>
      <c r="E21" s="37">
        <f t="shared" si="10"/>
        <v>0.67832095861207087</v>
      </c>
      <c r="F21" s="25">
        <f t="shared" si="15"/>
        <v>-0.5805818181818182</v>
      </c>
      <c r="G21" s="17">
        <f t="shared" si="16"/>
        <v>4865.4605719326619</v>
      </c>
      <c r="H21" s="8" t="s">
        <v>42</v>
      </c>
      <c r="I21" s="16">
        <v>879.2</v>
      </c>
      <c r="J21" s="37">
        <v>1.6172903036094979</v>
      </c>
      <c r="K21" s="37">
        <f t="shared" si="11"/>
        <v>0.67832095861207087</v>
      </c>
      <c r="L21" s="25">
        <f t="shared" si="0"/>
        <v>-0.5805818181818182</v>
      </c>
      <c r="M21" s="17">
        <f t="shared" si="3"/>
        <v>596.37978681173274</v>
      </c>
      <c r="N21" s="8" t="s">
        <v>42</v>
      </c>
      <c r="O21" s="16">
        <v>2150.25</v>
      </c>
      <c r="P21" s="37">
        <v>1.6172903036094979</v>
      </c>
      <c r="Q21" s="37">
        <f t="shared" si="12"/>
        <v>0.67832095861207087</v>
      </c>
      <c r="R21" s="25">
        <f t="shared" si="20"/>
        <v>-0.5805818181818182</v>
      </c>
      <c r="S21" s="17">
        <f t="shared" si="21"/>
        <v>1458.5596412556054</v>
      </c>
      <c r="T21" s="19">
        <f t="shared" si="22"/>
        <v>19.447461883408074</v>
      </c>
      <c r="U21" s="63">
        <f>SUM(План!C13)</f>
        <v>6920.4</v>
      </c>
      <c r="V21" s="16">
        <f t="shared" si="6"/>
        <v>20761.199999999997</v>
      </c>
      <c r="W21" s="63">
        <f t="shared" si="7"/>
        <v>41522.399999999994</v>
      </c>
      <c r="X21" s="16">
        <f t="shared" si="8"/>
        <v>62283.599999999991</v>
      </c>
      <c r="Y21" s="13">
        <f t="shared" si="9"/>
        <v>83044.799999999988</v>
      </c>
      <c r="Z21" s="53">
        <v>10260.42</v>
      </c>
      <c r="AA21" s="53">
        <v>24170.89</v>
      </c>
      <c r="AB21" s="63">
        <v>72959</v>
      </c>
      <c r="AC21" s="53"/>
      <c r="AD21" s="16">
        <f t="shared" si="14"/>
        <v>107390.31</v>
      </c>
    </row>
    <row r="22" spans="1:30" x14ac:dyDescent="0.25">
      <c r="A22" s="38" t="s">
        <v>7</v>
      </c>
      <c r="B22" s="8" t="s">
        <v>42</v>
      </c>
      <c r="C22" s="16">
        <v>7172.8</v>
      </c>
      <c r="D22" s="37">
        <v>0.31806709304320124</v>
      </c>
      <c r="E22" s="37">
        <f t="shared" si="10"/>
        <v>0.34306157955352984</v>
      </c>
      <c r="F22" s="25">
        <f t="shared" si="15"/>
        <v>7.8582434514637881E-2</v>
      </c>
      <c r="G22" s="17">
        <f t="shared" si="16"/>
        <v>2460.7120978215589</v>
      </c>
      <c r="H22" s="8" t="s">
        <v>42</v>
      </c>
      <c r="I22" s="16">
        <v>879.2</v>
      </c>
      <c r="J22" s="37">
        <v>0.31806709304320124</v>
      </c>
      <c r="K22" s="37">
        <f t="shared" si="11"/>
        <v>0.34306157955352984</v>
      </c>
      <c r="L22" s="25">
        <f t="shared" si="0"/>
        <v>7.8582434514637881E-2</v>
      </c>
      <c r="M22" s="17">
        <f t="shared" si="3"/>
        <v>301.61974074346347</v>
      </c>
      <c r="N22" s="8" t="s">
        <v>42</v>
      </c>
      <c r="O22" s="16">
        <v>2150.25</v>
      </c>
      <c r="P22" s="37">
        <v>0.31806709304320124</v>
      </c>
      <c r="Q22" s="37">
        <f t="shared" si="12"/>
        <v>0.34306157955352984</v>
      </c>
      <c r="R22" s="25">
        <f t="shared" si="20"/>
        <v>7.8582434514637881E-2</v>
      </c>
      <c r="S22" s="17">
        <f t="shared" si="21"/>
        <v>737.66816143497749</v>
      </c>
      <c r="T22" s="19">
        <f t="shared" si="22"/>
        <v>9.8355754857997013</v>
      </c>
      <c r="U22" s="63">
        <f>SUM(План!C14)</f>
        <v>3500</v>
      </c>
      <c r="V22" s="16">
        <f t="shared" si="6"/>
        <v>10500</v>
      </c>
      <c r="W22" s="63">
        <f t="shared" si="7"/>
        <v>21000</v>
      </c>
      <c r="X22" s="16">
        <f t="shared" si="8"/>
        <v>31500</v>
      </c>
      <c r="Y22" s="13">
        <f t="shared" si="9"/>
        <v>42000</v>
      </c>
      <c r="Z22" s="53">
        <v>10490.46</v>
      </c>
      <c r="AA22" s="53">
        <v>16870.79</v>
      </c>
      <c r="AB22" s="53">
        <v>9893.94</v>
      </c>
      <c r="AC22" s="53"/>
      <c r="AD22" s="16">
        <f t="shared" si="14"/>
        <v>37255.19</v>
      </c>
    </row>
    <row r="23" spans="1:30" x14ac:dyDescent="0.25">
      <c r="A23" s="38" t="s">
        <v>21</v>
      </c>
      <c r="B23" s="8" t="s">
        <v>42</v>
      </c>
      <c r="C23" s="16">
        <v>7172.8</v>
      </c>
      <c r="D23" s="37">
        <v>2.0560150947095002</v>
      </c>
      <c r="E23" s="37">
        <f t="shared" si="10"/>
        <v>2.0560150947095002</v>
      </c>
      <c r="F23" s="25">
        <f t="shared" si="15"/>
        <v>0</v>
      </c>
      <c r="G23" s="17">
        <f t="shared" si="16"/>
        <v>14747.385071332303</v>
      </c>
      <c r="H23" s="8" t="s">
        <v>42</v>
      </c>
      <c r="I23" s="16">
        <v>879.2</v>
      </c>
      <c r="J23" s="37">
        <v>2.0560150947095002</v>
      </c>
      <c r="K23" s="37">
        <f t="shared" si="11"/>
        <v>2.0560150947095002</v>
      </c>
      <c r="L23" s="25">
        <f t="shared" si="0"/>
        <v>0</v>
      </c>
      <c r="M23" s="17">
        <f t="shared" si="3"/>
        <v>1807.6484712685926</v>
      </c>
      <c r="N23" s="8" t="s">
        <v>42</v>
      </c>
      <c r="O23" s="16">
        <v>2150.25</v>
      </c>
      <c r="P23" s="37">
        <v>2.0560150947095002</v>
      </c>
      <c r="Q23" s="37">
        <f t="shared" si="12"/>
        <v>2.0560150947095002</v>
      </c>
      <c r="R23" s="25">
        <f t="shared" si="20"/>
        <v>0</v>
      </c>
      <c r="S23" s="17">
        <f t="shared" si="21"/>
        <v>4420.9464573991027</v>
      </c>
      <c r="T23" s="19">
        <f t="shared" si="22"/>
        <v>58.945952765321373</v>
      </c>
      <c r="U23" s="63">
        <f>SUM(План!C32)</f>
        <v>20975.98</v>
      </c>
      <c r="V23" s="16">
        <f t="shared" si="6"/>
        <v>62927.94</v>
      </c>
      <c r="W23" s="63">
        <f t="shared" si="7"/>
        <v>125855.88</v>
      </c>
      <c r="X23" s="16">
        <f t="shared" si="8"/>
        <v>188783.82</v>
      </c>
      <c r="Y23" s="13">
        <f t="shared" si="9"/>
        <v>251711.76</v>
      </c>
      <c r="Z23" s="53">
        <v>76575.02</v>
      </c>
      <c r="AA23" s="53">
        <v>58878.9</v>
      </c>
      <c r="AB23" s="59">
        <v>58878.9</v>
      </c>
      <c r="AC23" s="53"/>
      <c r="AD23" s="16">
        <f t="shared" si="14"/>
        <v>194332.82</v>
      </c>
    </row>
    <row r="24" spans="1:30" x14ac:dyDescent="0.25">
      <c r="A24" s="38" t="s">
        <v>6</v>
      </c>
      <c r="B24" s="8" t="s">
        <v>42</v>
      </c>
      <c r="C24" s="16">
        <v>7172.8</v>
      </c>
      <c r="D24" s="37">
        <v>8.1681001739812298E-2</v>
      </c>
      <c r="E24" s="37">
        <f t="shared" si="10"/>
        <v>8.1681001739812298E-2</v>
      </c>
      <c r="F24" s="25">
        <f t="shared" si="15"/>
        <v>0</v>
      </c>
      <c r="G24" s="17">
        <f t="shared" si="16"/>
        <v>585.88148927932571</v>
      </c>
      <c r="H24" s="8" t="s">
        <v>42</v>
      </c>
      <c r="I24" s="16">
        <v>879.2</v>
      </c>
      <c r="J24" s="37">
        <v>8.1681001739812298E-2</v>
      </c>
      <c r="K24" s="37">
        <f t="shared" si="11"/>
        <v>8.1681001739812298E-2</v>
      </c>
      <c r="L24" s="25">
        <f t="shared" si="0"/>
        <v>0</v>
      </c>
      <c r="M24" s="17">
        <f t="shared" si="3"/>
        <v>71.813936729642975</v>
      </c>
      <c r="N24" s="8" t="s">
        <v>42</v>
      </c>
      <c r="O24" s="16">
        <v>2150.25</v>
      </c>
      <c r="P24" s="37">
        <v>8.1681001739812298E-2</v>
      </c>
      <c r="Q24" s="37">
        <f t="shared" si="12"/>
        <v>8.1681001739812298E-2</v>
      </c>
      <c r="R24" s="25">
        <f t="shared" si="20"/>
        <v>0</v>
      </c>
      <c r="S24" s="17">
        <f>SUM(O24*Q24)</f>
        <v>175.6345739910314</v>
      </c>
      <c r="T24" s="19">
        <f t="shared" si="22"/>
        <v>2.3417943198804188</v>
      </c>
      <c r="U24" s="63">
        <f>SUM(План!C15)</f>
        <v>833.33</v>
      </c>
      <c r="V24" s="16">
        <f t="shared" si="6"/>
        <v>2499.9900000000002</v>
      </c>
      <c r="W24" s="63">
        <f t="shared" si="7"/>
        <v>4999.9800000000005</v>
      </c>
      <c r="X24" s="16">
        <f t="shared" si="8"/>
        <v>7499.9700000000012</v>
      </c>
      <c r="Y24" s="13">
        <f t="shared" si="9"/>
        <v>9999.9600000000009</v>
      </c>
      <c r="Z24" s="53">
        <v>26500</v>
      </c>
      <c r="AA24" s="53">
        <v>0</v>
      </c>
      <c r="AB24" s="53">
        <v>0</v>
      </c>
      <c r="AC24" s="53"/>
      <c r="AD24" s="16">
        <f t="shared" si="14"/>
        <v>26500</v>
      </c>
    </row>
    <row r="25" spans="1:30" x14ac:dyDescent="0.25">
      <c r="A25" s="38" t="s">
        <v>34</v>
      </c>
      <c r="B25" s="8" t="s">
        <v>42</v>
      </c>
      <c r="C25" s="16">
        <v>7172.8</v>
      </c>
      <c r="D25" s="37">
        <v>15.290744688671616</v>
      </c>
      <c r="E25" s="37">
        <f t="shared" si="10"/>
        <v>19.309466049155823</v>
      </c>
      <c r="F25" s="25">
        <f t="shared" si="15"/>
        <v>0.26282051282051283</v>
      </c>
      <c r="G25" s="17">
        <f t="shared" si="16"/>
        <v>138502.9380773849</v>
      </c>
      <c r="H25" s="8" t="s">
        <v>42</v>
      </c>
      <c r="I25" s="16">
        <v>879.2</v>
      </c>
      <c r="J25" s="37">
        <v>15.290744688671616</v>
      </c>
      <c r="K25" s="37">
        <f t="shared" si="11"/>
        <v>19.309466049155823</v>
      </c>
      <c r="L25" s="25">
        <f t="shared" si="0"/>
        <v>0.26282051282051283</v>
      </c>
      <c r="M25" s="17">
        <f t="shared" si="3"/>
        <v>16976.882550417802</v>
      </c>
      <c r="N25" s="8" t="s">
        <v>42</v>
      </c>
      <c r="O25" s="16">
        <v>2150.25</v>
      </c>
      <c r="P25" s="37">
        <v>15.290744688671616</v>
      </c>
      <c r="Q25" s="37">
        <f t="shared" si="12"/>
        <v>19.309466049155823</v>
      </c>
      <c r="R25" s="25">
        <f t="shared" si="20"/>
        <v>0.26282051282051283</v>
      </c>
      <c r="S25" s="17">
        <f>SUM(O25*Q25)</f>
        <v>41520.179372197308</v>
      </c>
      <c r="T25" s="19">
        <f t="shared" si="22"/>
        <v>553.60239162929747</v>
      </c>
      <c r="U25" s="63">
        <f>SUM(План!C33)</f>
        <v>197000</v>
      </c>
      <c r="V25" s="16">
        <f t="shared" si="6"/>
        <v>591000</v>
      </c>
      <c r="W25" s="63">
        <f t="shared" si="7"/>
        <v>1182000</v>
      </c>
      <c r="X25" s="16">
        <f t="shared" si="8"/>
        <v>1773000</v>
      </c>
      <c r="Y25" s="13">
        <f t="shared" si="9"/>
        <v>2364000</v>
      </c>
      <c r="Z25" s="53">
        <v>905113.4</v>
      </c>
      <c r="AA25" s="53">
        <v>1095686.7</v>
      </c>
      <c r="AB25" s="53">
        <v>119756</v>
      </c>
      <c r="AC25" s="53"/>
      <c r="AD25" s="16">
        <f t="shared" si="14"/>
        <v>2120556.1</v>
      </c>
    </row>
    <row r="26" spans="1:30" x14ac:dyDescent="0.25">
      <c r="A26" s="38" t="s">
        <v>35</v>
      </c>
      <c r="B26" s="8" t="s">
        <v>42</v>
      </c>
      <c r="C26" s="16">
        <v>7172.8</v>
      </c>
      <c r="D26" s="37">
        <v>2.2053958685584063</v>
      </c>
      <c r="E26" s="37">
        <f t="shared" si="10"/>
        <v>2.2053958685584063</v>
      </c>
      <c r="F26" s="25">
        <f t="shared" si="15"/>
        <v>0</v>
      </c>
      <c r="G26" s="17">
        <f t="shared" si="16"/>
        <v>15818.863485995736</v>
      </c>
      <c r="H26" s="8" t="s">
        <v>42</v>
      </c>
      <c r="I26" s="16">
        <v>879.2</v>
      </c>
      <c r="J26" s="37">
        <v>2.2053958685584063</v>
      </c>
      <c r="K26" s="37">
        <f t="shared" si="11"/>
        <v>2.2053958685584063</v>
      </c>
      <c r="L26" s="25">
        <f t="shared" si="0"/>
        <v>0</v>
      </c>
      <c r="M26" s="17">
        <f t="shared" si="3"/>
        <v>1938.9840476365509</v>
      </c>
      <c r="N26" s="8" t="s">
        <v>42</v>
      </c>
      <c r="O26" s="16">
        <v>2150.25</v>
      </c>
      <c r="P26" s="37">
        <v>2.2053958685584063</v>
      </c>
      <c r="Q26" s="37">
        <f t="shared" si="12"/>
        <v>2.2053958685584063</v>
      </c>
      <c r="R26" s="25">
        <f t="shared" si="20"/>
        <v>0</v>
      </c>
      <c r="S26" s="17">
        <f>SUM(O26*Q26)</f>
        <v>4742.1524663677128</v>
      </c>
      <c r="T26" s="19">
        <f t="shared" si="22"/>
        <v>63.228699551569512</v>
      </c>
      <c r="U26" s="63">
        <f>SUM(План!C34)</f>
        <v>22500</v>
      </c>
      <c r="V26" s="16">
        <f t="shared" si="6"/>
        <v>67500</v>
      </c>
      <c r="W26" s="63">
        <f t="shared" si="7"/>
        <v>135000</v>
      </c>
      <c r="X26" s="16">
        <f t="shared" si="8"/>
        <v>202500</v>
      </c>
      <c r="Y26" s="13">
        <f t="shared" si="9"/>
        <v>270000</v>
      </c>
      <c r="Z26" s="53">
        <v>217185.07</v>
      </c>
      <c r="AA26" s="53">
        <v>120756</v>
      </c>
      <c r="AB26" s="53">
        <v>144090.79999999999</v>
      </c>
      <c r="AC26" s="53"/>
      <c r="AD26" s="16">
        <f t="shared" si="14"/>
        <v>482031.87</v>
      </c>
    </row>
    <row r="27" spans="1:30" ht="30" x14ac:dyDescent="0.25">
      <c r="A27" s="38" t="s">
        <v>63</v>
      </c>
      <c r="B27" s="56" t="s">
        <v>42</v>
      </c>
      <c r="C27" s="16">
        <v>7172.8</v>
      </c>
      <c r="D27" s="37">
        <v>0.48795449475797453</v>
      </c>
      <c r="E27" s="37">
        <f>3500/C27</f>
        <v>0.48795449475797453</v>
      </c>
      <c r="F27" s="25">
        <f t="shared" si="15"/>
        <v>0</v>
      </c>
      <c r="G27" s="17">
        <f t="shared" si="16"/>
        <v>3500</v>
      </c>
      <c r="H27" s="56" t="s">
        <v>42</v>
      </c>
      <c r="I27" s="16">
        <v>879.2</v>
      </c>
      <c r="J27" s="37">
        <v>5.3276997474789161</v>
      </c>
      <c r="K27" s="37">
        <f>SUM(U27-G27)/(I27+O27)</f>
        <v>5.3276997474789161</v>
      </c>
      <c r="L27" s="25">
        <f t="shared" si="0"/>
        <v>0</v>
      </c>
      <c r="M27" s="17">
        <f t="shared" si="3"/>
        <v>4684.113617983463</v>
      </c>
      <c r="N27" s="56" t="s">
        <v>42</v>
      </c>
      <c r="O27" s="16">
        <v>2150.25</v>
      </c>
      <c r="P27" s="37">
        <v>5.3276997474789161</v>
      </c>
      <c r="Q27" s="37">
        <f>SUM(U27-G27)/(I27+O27)</f>
        <v>5.3276997474789161</v>
      </c>
      <c r="R27" s="25">
        <f t="shared" si="20"/>
        <v>0</v>
      </c>
      <c r="S27" s="17">
        <f>SUM(O27*Q27)</f>
        <v>11455.886382016539</v>
      </c>
      <c r="T27" s="53">
        <f t="shared" si="22"/>
        <v>152.74515176022052</v>
      </c>
      <c r="U27" s="63">
        <f>SUM(План!C35)</f>
        <v>19640</v>
      </c>
      <c r="V27" s="16">
        <f t="shared" si="6"/>
        <v>58920</v>
      </c>
      <c r="W27" s="63">
        <f t="shared" si="7"/>
        <v>117840</v>
      </c>
      <c r="X27" s="16">
        <f t="shared" si="8"/>
        <v>176760</v>
      </c>
      <c r="Y27" s="13">
        <f t="shared" si="9"/>
        <v>235680</v>
      </c>
      <c r="Z27" s="53">
        <v>45000</v>
      </c>
      <c r="AA27" s="59">
        <v>45000</v>
      </c>
      <c r="AB27" s="59">
        <v>45000</v>
      </c>
      <c r="AC27" s="53"/>
      <c r="AD27" s="16">
        <f t="shared" si="14"/>
        <v>135000</v>
      </c>
    </row>
    <row r="28" spans="1:30" x14ac:dyDescent="0.25">
      <c r="A28" s="66" t="s">
        <v>27</v>
      </c>
      <c r="B28" s="56" t="s">
        <v>42</v>
      </c>
      <c r="C28" s="16">
        <v>4115.2</v>
      </c>
      <c r="D28" s="37">
        <v>1.2830117640472243</v>
      </c>
      <c r="E28" s="37">
        <f t="shared" si="10"/>
        <v>1.6795784258151205</v>
      </c>
      <c r="F28" s="25">
        <f t="shared" si="15"/>
        <v>0.30909043305802431</v>
      </c>
      <c r="G28" s="17">
        <f t="shared" si="16"/>
        <v>6911.8011379143836</v>
      </c>
      <c r="H28" s="56" t="s">
        <v>42</v>
      </c>
      <c r="I28" s="16">
        <v>879.2</v>
      </c>
      <c r="J28" s="37">
        <v>1.2830117640472243</v>
      </c>
      <c r="K28" s="37">
        <f t="shared" si="11"/>
        <v>1.6795784258151205</v>
      </c>
      <c r="L28" s="25">
        <f t="shared" si="0"/>
        <v>0.30909043305802431</v>
      </c>
      <c r="M28" s="17">
        <f t="shared" si="3"/>
        <v>1476.6853519766539</v>
      </c>
      <c r="N28" s="56" t="s">
        <v>42</v>
      </c>
      <c r="O28" s="16">
        <v>2150.25</v>
      </c>
      <c r="P28" s="37">
        <v>1.2830117640472243</v>
      </c>
      <c r="Q28" s="37">
        <f t="shared" si="12"/>
        <v>1.6795784258151205</v>
      </c>
      <c r="R28" s="25">
        <f t="shared" si="20"/>
        <v>0.30909043305802431</v>
      </c>
      <c r="S28" s="17">
        <f>SUM(O28*Q28)</f>
        <v>3611.5135101089627</v>
      </c>
      <c r="T28" s="53">
        <f t="shared" si="22"/>
        <v>48.153513468119506</v>
      </c>
      <c r="U28" s="63">
        <f>SUM(План!C36)</f>
        <v>12000</v>
      </c>
      <c r="V28" s="16">
        <f t="shared" si="6"/>
        <v>36000</v>
      </c>
      <c r="W28" s="63">
        <f t="shared" si="7"/>
        <v>72000</v>
      </c>
      <c r="X28" s="16">
        <f t="shared" si="8"/>
        <v>108000</v>
      </c>
      <c r="Y28" s="13">
        <f t="shared" si="9"/>
        <v>144000</v>
      </c>
      <c r="Z28" s="53">
        <v>60000</v>
      </c>
      <c r="AA28" s="53">
        <v>50000</v>
      </c>
      <c r="AB28" s="53">
        <v>0</v>
      </c>
      <c r="AC28" s="53"/>
      <c r="AD28" s="16">
        <f t="shared" si="14"/>
        <v>110000</v>
      </c>
    </row>
    <row r="29" spans="1:30" x14ac:dyDescent="0.25">
      <c r="A29" s="66" t="s">
        <v>85</v>
      </c>
      <c r="B29" s="56" t="s">
        <v>42</v>
      </c>
      <c r="C29" s="16">
        <v>7172.8</v>
      </c>
      <c r="D29" s="37">
        <v>0.57160383671648451</v>
      </c>
      <c r="E29" s="37">
        <f>U29/C29</f>
        <v>0.57160383671648451</v>
      </c>
      <c r="F29" s="25">
        <f t="shared" si="15"/>
        <v>0</v>
      </c>
      <c r="G29" s="17">
        <f t="shared" si="16"/>
        <v>4100</v>
      </c>
      <c r="H29" s="56" t="s">
        <v>42</v>
      </c>
      <c r="I29" s="16">
        <v>879.2</v>
      </c>
      <c r="J29" s="37"/>
      <c r="K29" s="37"/>
      <c r="L29" s="25"/>
      <c r="M29" s="17">
        <f t="shared" si="3"/>
        <v>0</v>
      </c>
      <c r="N29" s="56" t="s">
        <v>42</v>
      </c>
      <c r="O29" s="16">
        <v>2150.25</v>
      </c>
      <c r="P29" s="37"/>
      <c r="Q29" s="37"/>
      <c r="R29" s="25"/>
      <c r="S29" s="20"/>
      <c r="T29" s="53"/>
      <c r="U29" s="64">
        <f>SUM(План!C37)</f>
        <v>4100</v>
      </c>
      <c r="V29" s="16">
        <f t="shared" si="6"/>
        <v>12300</v>
      </c>
      <c r="W29" s="63">
        <f t="shared" si="7"/>
        <v>24600</v>
      </c>
      <c r="X29" s="16">
        <f t="shared" si="8"/>
        <v>36900</v>
      </c>
      <c r="Y29" s="13">
        <f t="shared" si="9"/>
        <v>49200</v>
      </c>
      <c r="Z29" s="53">
        <v>12300</v>
      </c>
      <c r="AA29" s="59">
        <v>12300</v>
      </c>
      <c r="AB29" s="59">
        <v>12300</v>
      </c>
      <c r="AC29" s="53"/>
      <c r="AD29" s="16">
        <f t="shared" si="14"/>
        <v>36900</v>
      </c>
    </row>
    <row r="30" spans="1:30" x14ac:dyDescent="0.25">
      <c r="A30" s="66" t="s">
        <v>32</v>
      </c>
      <c r="B30" s="56" t="s">
        <v>42</v>
      </c>
      <c r="C30" s="16">
        <v>7172.8</v>
      </c>
      <c r="D30" s="37">
        <v>1.0928961748633881</v>
      </c>
      <c r="E30" s="37">
        <f>SUM(U30)/(C30+I30)</f>
        <v>1.0928961748633881</v>
      </c>
      <c r="F30" s="25">
        <f t="shared" si="15"/>
        <v>0</v>
      </c>
      <c r="G30" s="17">
        <f t="shared" si="16"/>
        <v>7839.1256830601105</v>
      </c>
      <c r="H30" s="56" t="s">
        <v>42</v>
      </c>
      <c r="I30" s="16">
        <v>879.2</v>
      </c>
      <c r="J30" s="37">
        <v>1.0928961748633881</v>
      </c>
      <c r="K30" s="37">
        <f>SUM(U30)/(C30+I30)</f>
        <v>1.0928961748633881</v>
      </c>
      <c r="L30" s="25">
        <f t="shared" ref="L30:L31" si="23">(K30-J30)/J30</f>
        <v>0</v>
      </c>
      <c r="M30" s="17">
        <f t="shared" si="3"/>
        <v>960.87431693989083</v>
      </c>
      <c r="N30" s="56" t="s">
        <v>42</v>
      </c>
      <c r="O30" s="16">
        <v>2150.25</v>
      </c>
      <c r="P30" s="37"/>
      <c r="Q30" s="37"/>
      <c r="R30" s="25"/>
      <c r="S30" s="20"/>
      <c r="T30" s="53"/>
      <c r="U30" s="64">
        <f>SUM(План!C38)</f>
        <v>8800</v>
      </c>
      <c r="V30" s="16">
        <f t="shared" si="6"/>
        <v>26400</v>
      </c>
      <c r="W30" s="63">
        <f t="shared" si="7"/>
        <v>52800</v>
      </c>
      <c r="X30" s="16">
        <f t="shared" si="8"/>
        <v>79200</v>
      </c>
      <c r="Y30" s="13">
        <f t="shared" si="9"/>
        <v>105600</v>
      </c>
      <c r="Z30" s="50">
        <v>26400</v>
      </c>
      <c r="AA30" s="57">
        <v>26400</v>
      </c>
      <c r="AB30" s="57">
        <v>26400</v>
      </c>
      <c r="AC30" s="53"/>
      <c r="AD30" s="16">
        <f t="shared" si="14"/>
        <v>79200</v>
      </c>
    </row>
    <row r="31" spans="1:30" x14ac:dyDescent="0.25">
      <c r="A31" s="66" t="s">
        <v>8</v>
      </c>
      <c r="B31" s="56" t="s">
        <v>42</v>
      </c>
      <c r="C31" s="16">
        <v>7172.8</v>
      </c>
      <c r="D31" s="37">
        <v>0.1137004092234556</v>
      </c>
      <c r="E31" s="37">
        <f t="shared" si="10"/>
        <v>6.8612315910705976E-2</v>
      </c>
      <c r="F31" s="25">
        <f t="shared" si="15"/>
        <v>-0.39655172413793094</v>
      </c>
      <c r="G31" s="17">
        <f t="shared" si="16"/>
        <v>492.14241956431187</v>
      </c>
      <c r="H31" s="56" t="s">
        <v>42</v>
      </c>
      <c r="I31" s="16">
        <v>879.2</v>
      </c>
      <c r="J31" s="37">
        <v>0.1137004092234556</v>
      </c>
      <c r="K31" s="37">
        <f t="shared" si="11"/>
        <v>6.8612315910705976E-2</v>
      </c>
      <c r="L31" s="25">
        <f t="shared" si="23"/>
        <v>-0.39655172413793094</v>
      </c>
      <c r="M31" s="17">
        <f t="shared" si="3"/>
        <v>60.3239481486927</v>
      </c>
      <c r="N31" s="56" t="s">
        <v>42</v>
      </c>
      <c r="O31" s="16">
        <v>2150.25</v>
      </c>
      <c r="P31" s="37">
        <v>0.1137004092234556</v>
      </c>
      <c r="Q31" s="37">
        <f t="shared" si="12"/>
        <v>6.8612315910705976E-2</v>
      </c>
      <c r="R31" s="25">
        <f t="shared" ref="R31" si="24">(Q31-P31)/P31</f>
        <v>-0.39655172413793094</v>
      </c>
      <c r="S31" s="17">
        <f>SUM(O31*Q31)</f>
        <v>147.53363228699553</v>
      </c>
      <c r="T31" s="53">
        <f t="shared" ref="T31" si="25">SUM(Q31)*28.67</f>
        <v>1.9671150971599405</v>
      </c>
      <c r="U31" s="64">
        <f>SUM(План!C16)</f>
        <v>700</v>
      </c>
      <c r="V31" s="16">
        <f t="shared" si="6"/>
        <v>2100</v>
      </c>
      <c r="W31" s="63">
        <f t="shared" si="7"/>
        <v>4200</v>
      </c>
      <c r="X31" s="16">
        <f t="shared" si="8"/>
        <v>6300</v>
      </c>
      <c r="Y31" s="13">
        <f t="shared" si="9"/>
        <v>8400</v>
      </c>
      <c r="Z31" s="53">
        <v>1555.8</v>
      </c>
      <c r="AA31" s="53">
        <v>1375.55</v>
      </c>
      <c r="AB31" s="53">
        <v>1352.45</v>
      </c>
      <c r="AC31" s="53"/>
      <c r="AD31" s="16">
        <f t="shared" si="14"/>
        <v>4283.8</v>
      </c>
    </row>
    <row r="32" spans="1:30" x14ac:dyDescent="0.25">
      <c r="A32" s="66"/>
      <c r="B32" s="55"/>
      <c r="C32" s="18"/>
      <c r="D32" s="50"/>
      <c r="E32" s="50"/>
      <c r="F32" s="25"/>
      <c r="G32" s="20"/>
      <c r="H32" s="55"/>
      <c r="I32" s="18"/>
      <c r="J32" s="50"/>
      <c r="K32" s="50"/>
      <c r="L32" s="25"/>
      <c r="M32" s="20"/>
      <c r="N32" s="55"/>
      <c r="O32" s="16"/>
      <c r="P32" s="50"/>
      <c r="Q32" s="50"/>
      <c r="R32" s="25"/>
      <c r="S32" s="17"/>
      <c r="T32" s="53"/>
      <c r="U32" s="64"/>
      <c r="V32" s="18"/>
      <c r="W32" s="64"/>
      <c r="X32" s="18"/>
      <c r="Y32" s="20"/>
      <c r="Z32" s="53"/>
      <c r="AA32" s="53"/>
      <c r="AB32" s="53"/>
      <c r="AC32" s="53"/>
      <c r="AD32" s="16"/>
    </row>
    <row r="33" spans="1:30" x14ac:dyDescent="0.25">
      <c r="A33" s="67" t="s">
        <v>28</v>
      </c>
      <c r="B33" s="51" t="s">
        <v>80</v>
      </c>
      <c r="C33" s="13">
        <v>67</v>
      </c>
      <c r="D33" s="21">
        <v>111.20820000000001</v>
      </c>
      <c r="E33" s="21">
        <v>134.98507462686501</v>
      </c>
      <c r="F33" s="15">
        <f>(E33-D33)/D33</f>
        <v>0.21380504879015225</v>
      </c>
      <c r="G33" s="13">
        <f>SUM(C33*E33)</f>
        <v>9043.9999999999563</v>
      </c>
      <c r="H33" s="51" t="s">
        <v>57</v>
      </c>
      <c r="I33" s="13">
        <v>879.2</v>
      </c>
      <c r="J33" s="52"/>
      <c r="K33" s="52"/>
      <c r="L33" s="15"/>
      <c r="M33" s="52"/>
      <c r="N33" s="51" t="s">
        <v>76</v>
      </c>
      <c r="O33" s="13">
        <v>2150.25</v>
      </c>
      <c r="P33" s="52"/>
      <c r="Q33" s="52"/>
      <c r="R33" s="15"/>
      <c r="S33" s="13"/>
      <c r="T33" s="13"/>
      <c r="U33" s="52">
        <f>SUM(G33)</f>
        <v>9043.9999999999563</v>
      </c>
      <c r="V33" s="13">
        <f>SUM(U33)*3</f>
        <v>27131.999999999869</v>
      </c>
      <c r="W33" s="13">
        <f t="shared" si="7"/>
        <v>54263.999999999738</v>
      </c>
      <c r="X33" s="13">
        <f t="shared" si="8"/>
        <v>81395.999999999607</v>
      </c>
      <c r="Y33" s="13">
        <f t="shared" si="9"/>
        <v>108527.99999999948</v>
      </c>
      <c r="Z33" s="13">
        <v>24900.48</v>
      </c>
      <c r="AA33" s="13">
        <v>24900.48</v>
      </c>
      <c r="AB33" s="13">
        <v>24145.919999999998</v>
      </c>
      <c r="AC33" s="13">
        <v>0</v>
      </c>
      <c r="AD33" s="13">
        <f t="shared" si="14"/>
        <v>73946.880000000005</v>
      </c>
    </row>
    <row r="34" spans="1:30" x14ac:dyDescent="0.25">
      <c r="A34" s="66"/>
      <c r="B34" s="55"/>
      <c r="C34" s="18"/>
      <c r="D34" s="24"/>
      <c r="E34" s="24"/>
      <c r="F34" s="25"/>
      <c r="G34" s="20"/>
      <c r="H34" s="55"/>
      <c r="I34" s="18"/>
      <c r="J34" s="24"/>
      <c r="K34" s="24"/>
      <c r="L34" s="25"/>
      <c r="M34" s="20"/>
      <c r="N34" s="55"/>
      <c r="O34" s="16"/>
      <c r="P34" s="24"/>
      <c r="Q34" s="24"/>
      <c r="R34" s="25"/>
      <c r="S34" s="52"/>
      <c r="T34" s="23"/>
      <c r="U34" s="65"/>
      <c r="V34" s="22"/>
      <c r="W34" s="65"/>
      <c r="X34" s="22"/>
      <c r="Y34" s="20"/>
      <c r="Z34" s="53"/>
      <c r="AA34" s="53"/>
      <c r="AB34" s="53"/>
      <c r="AC34" s="53"/>
      <c r="AD34" s="16"/>
    </row>
    <row r="35" spans="1:30" x14ac:dyDescent="0.25">
      <c r="A35" s="75" t="s">
        <v>202</v>
      </c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22">
        <f t="shared" ref="U35:AD35" si="26">SUM(U6:U34)</f>
        <v>997839.32149999996</v>
      </c>
      <c r="V35" s="22">
        <f t="shared" si="26"/>
        <v>2993517.9645000002</v>
      </c>
      <c r="W35" s="22">
        <f t="shared" si="26"/>
        <v>5987035.9290000005</v>
      </c>
      <c r="X35" s="22">
        <f t="shared" si="26"/>
        <v>8980553.8935000002</v>
      </c>
      <c r="Y35" s="22">
        <f t="shared" si="26"/>
        <v>11974071.858000001</v>
      </c>
      <c r="Z35" s="22">
        <f t="shared" si="26"/>
        <v>3472665.4699999993</v>
      </c>
      <c r="AA35" s="22">
        <f t="shared" si="26"/>
        <v>3258381.4399999995</v>
      </c>
      <c r="AB35" s="22">
        <f t="shared" si="26"/>
        <v>2490563.2799999998</v>
      </c>
      <c r="AC35" s="22">
        <f t="shared" si="26"/>
        <v>0</v>
      </c>
      <c r="AD35" s="22">
        <f t="shared" si="26"/>
        <v>9221610.1900000013</v>
      </c>
    </row>
    <row r="36" spans="1:30" x14ac:dyDescent="0.25">
      <c r="A36" s="73" t="s">
        <v>96</v>
      </c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</row>
    <row r="37" spans="1:30" ht="15" customHeight="1" x14ac:dyDescent="0.25">
      <c r="A37" s="75" t="s">
        <v>97</v>
      </c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2" t="s">
        <v>199</v>
      </c>
      <c r="AA37" s="72"/>
      <c r="AB37" s="72"/>
      <c r="AC37" s="72"/>
      <c r="AD37" s="72"/>
    </row>
    <row r="38" spans="1:30" ht="15" customHeight="1" x14ac:dyDescent="0.25">
      <c r="A38" s="51" t="s">
        <v>73</v>
      </c>
      <c r="B38" s="78" t="s">
        <v>75</v>
      </c>
      <c r="C38" s="78"/>
      <c r="D38" s="78"/>
      <c r="E38" s="78"/>
      <c r="F38" s="78" t="s">
        <v>159</v>
      </c>
      <c r="G38" s="78"/>
      <c r="H38" s="78"/>
      <c r="I38" s="78"/>
      <c r="J38" s="78" t="s">
        <v>160</v>
      </c>
      <c r="K38" s="78"/>
      <c r="L38" s="78"/>
      <c r="M38" s="78" t="s">
        <v>104</v>
      </c>
      <c r="N38" s="78"/>
      <c r="O38" s="78"/>
      <c r="P38" s="78"/>
      <c r="Q38" s="78" t="s">
        <v>72</v>
      </c>
      <c r="R38" s="78"/>
      <c r="S38" s="78"/>
      <c r="T38" s="78"/>
      <c r="U38" s="53" t="s">
        <v>188</v>
      </c>
      <c r="V38" s="16" t="s">
        <v>189</v>
      </c>
      <c r="W38" s="53" t="s">
        <v>190</v>
      </c>
      <c r="X38" s="16" t="s">
        <v>191</v>
      </c>
      <c r="Y38" s="17" t="s">
        <v>192</v>
      </c>
      <c r="Z38" s="53" t="s">
        <v>195</v>
      </c>
      <c r="AA38" s="53" t="s">
        <v>196</v>
      </c>
      <c r="AB38" s="53" t="s">
        <v>197</v>
      </c>
      <c r="AC38" s="53" t="s">
        <v>198</v>
      </c>
      <c r="AD38" s="20" t="s">
        <v>200</v>
      </c>
    </row>
    <row r="39" spans="1:30" x14ac:dyDescent="0.25">
      <c r="A39" s="24" t="s">
        <v>26</v>
      </c>
      <c r="B39" s="77" t="s">
        <v>48</v>
      </c>
      <c r="C39" s="77"/>
      <c r="D39" s="77"/>
      <c r="E39" s="77"/>
      <c r="F39" s="77">
        <v>969.7</v>
      </c>
      <c r="G39" s="77"/>
      <c r="H39" s="77"/>
      <c r="I39" s="77"/>
      <c r="J39" s="79">
        <v>1367.56</v>
      </c>
      <c r="K39" s="79"/>
      <c r="L39" s="79"/>
      <c r="M39" s="82">
        <f t="shared" ref="M39:M44" si="27">SUM(J39-F39)/F39</f>
        <v>0.41029184283799103</v>
      </c>
      <c r="N39" s="82"/>
      <c r="O39" s="82"/>
      <c r="P39" s="82"/>
      <c r="Q39" s="77">
        <v>47.268887653923699</v>
      </c>
      <c r="R39" s="77"/>
      <c r="S39" s="77"/>
      <c r="T39" s="77"/>
      <c r="U39" s="50">
        <f t="shared" ref="U39:U44" si="28">SUM(Q39*J39)</f>
        <v>64643.039999999892</v>
      </c>
      <c r="V39" s="16">
        <f t="shared" ref="V39:V44" si="29">SUM(U39)*3</f>
        <v>193929.11999999968</v>
      </c>
      <c r="W39" s="53">
        <f t="shared" ref="W39:W44" si="30">SUM(V39)*2</f>
        <v>387858.23999999935</v>
      </c>
      <c r="X39" s="16">
        <f t="shared" ref="X39:X44" si="31">SUM(V39)*3</f>
        <v>581787.35999999905</v>
      </c>
      <c r="Y39" s="52">
        <f t="shared" ref="Y39:Y44" si="32">SUM(U39)*12</f>
        <v>775716.4799999987</v>
      </c>
      <c r="Z39" s="50">
        <v>193929.12</v>
      </c>
      <c r="AA39" s="50">
        <v>193929.12</v>
      </c>
      <c r="AB39" s="17">
        <v>190337.84</v>
      </c>
      <c r="AC39" s="53"/>
      <c r="AD39" s="16">
        <f t="shared" ref="AD39:AD46" si="33">SUM(Z39,AA39,AB39,AC39)</f>
        <v>578196.07999999996</v>
      </c>
    </row>
    <row r="40" spans="1:30" x14ac:dyDescent="0.25">
      <c r="A40" s="24" t="s">
        <v>67</v>
      </c>
      <c r="B40" s="77" t="s">
        <v>71</v>
      </c>
      <c r="C40" s="77"/>
      <c r="D40" s="77"/>
      <c r="E40" s="77"/>
      <c r="F40" s="77">
        <v>1947.79</v>
      </c>
      <c r="G40" s="77"/>
      <c r="H40" s="77"/>
      <c r="I40" s="77"/>
      <c r="J40" s="79">
        <v>2111.4</v>
      </c>
      <c r="K40" s="79"/>
      <c r="L40" s="79"/>
      <c r="M40" s="82">
        <f t="shared" si="27"/>
        <v>8.399776156567193E-2</v>
      </c>
      <c r="N40" s="82"/>
      <c r="O40" s="82"/>
      <c r="P40" s="82"/>
      <c r="Q40" s="77">
        <v>41.4284166666666</v>
      </c>
      <c r="R40" s="77"/>
      <c r="S40" s="77"/>
      <c r="T40" s="77"/>
      <c r="U40" s="50">
        <f t="shared" si="28"/>
        <v>87471.958949999869</v>
      </c>
      <c r="V40" s="16">
        <f t="shared" si="29"/>
        <v>262415.87684999959</v>
      </c>
      <c r="W40" s="53">
        <f t="shared" si="30"/>
        <v>524831.75369999919</v>
      </c>
      <c r="X40" s="16">
        <f t="shared" si="31"/>
        <v>787247.63054999872</v>
      </c>
      <c r="Y40" s="52">
        <f t="shared" si="32"/>
        <v>1049663.5073999984</v>
      </c>
      <c r="Z40" s="50">
        <v>10789.28</v>
      </c>
      <c r="AA40" s="50">
        <v>80612.41</v>
      </c>
      <c r="AB40" s="17">
        <v>168491.84</v>
      </c>
      <c r="AC40" s="53"/>
      <c r="AD40" s="16">
        <f t="shared" si="33"/>
        <v>259893.53</v>
      </c>
    </row>
    <row r="41" spans="1:30" ht="15" customHeight="1" x14ac:dyDescent="0.25">
      <c r="A41" s="24" t="s">
        <v>52</v>
      </c>
      <c r="B41" s="77" t="s">
        <v>48</v>
      </c>
      <c r="C41" s="77"/>
      <c r="D41" s="77"/>
      <c r="E41" s="77"/>
      <c r="F41" s="77">
        <v>33.68</v>
      </c>
      <c r="G41" s="77"/>
      <c r="H41" s="77"/>
      <c r="I41" s="77"/>
      <c r="J41" s="79">
        <v>36.54</v>
      </c>
      <c r="K41" s="79"/>
      <c r="L41" s="79"/>
      <c r="M41" s="82">
        <f t="shared" si="27"/>
        <v>8.4916864608075987E-2</v>
      </c>
      <c r="N41" s="82"/>
      <c r="O41" s="82"/>
      <c r="P41" s="82"/>
      <c r="Q41" s="77">
        <v>407.81</v>
      </c>
      <c r="R41" s="77"/>
      <c r="S41" s="77"/>
      <c r="T41" s="77"/>
      <c r="U41" s="50">
        <f t="shared" si="28"/>
        <v>14901.377399999999</v>
      </c>
      <c r="V41" s="16">
        <f t="shared" si="29"/>
        <v>44704.1322</v>
      </c>
      <c r="W41" s="53">
        <f t="shared" si="30"/>
        <v>89408.2644</v>
      </c>
      <c r="X41" s="16">
        <f t="shared" si="31"/>
        <v>134112.39660000001</v>
      </c>
      <c r="Y41" s="52">
        <f t="shared" si="32"/>
        <v>178816.5288</v>
      </c>
      <c r="Z41" s="53">
        <v>50933.1</v>
      </c>
      <c r="AA41" s="53">
        <v>52142.59</v>
      </c>
      <c r="AB41" s="17">
        <v>46074.99</v>
      </c>
      <c r="AC41" s="53"/>
      <c r="AD41" s="16">
        <f t="shared" si="33"/>
        <v>149150.68</v>
      </c>
    </row>
    <row r="42" spans="1:30" x14ac:dyDescent="0.25">
      <c r="A42" s="24" t="s">
        <v>51</v>
      </c>
      <c r="B42" s="77" t="s">
        <v>48</v>
      </c>
      <c r="C42" s="77"/>
      <c r="D42" s="77"/>
      <c r="E42" s="77"/>
      <c r="F42" s="77">
        <v>33.68</v>
      </c>
      <c r="G42" s="77"/>
      <c r="H42" s="77"/>
      <c r="I42" s="77"/>
      <c r="J42" s="79">
        <v>36.54</v>
      </c>
      <c r="K42" s="79"/>
      <c r="L42" s="79"/>
      <c r="M42" s="82">
        <f t="shared" si="27"/>
        <v>8.4916864608075987E-2</v>
      </c>
      <c r="N42" s="82"/>
      <c r="O42" s="82"/>
      <c r="P42" s="82"/>
      <c r="Q42" s="77">
        <v>634.96</v>
      </c>
      <c r="R42" s="77"/>
      <c r="S42" s="77"/>
      <c r="T42" s="77"/>
      <c r="U42" s="50">
        <f t="shared" si="28"/>
        <v>23201.438399999999</v>
      </c>
      <c r="V42" s="16">
        <f t="shared" si="29"/>
        <v>69604.315199999997</v>
      </c>
      <c r="W42" s="53">
        <f t="shared" si="30"/>
        <v>139208.63039999999</v>
      </c>
      <c r="X42" s="16">
        <f t="shared" si="31"/>
        <v>208812.94559999998</v>
      </c>
      <c r="Y42" s="52">
        <f t="shared" si="32"/>
        <v>278417.26079999999</v>
      </c>
      <c r="Z42" s="53">
        <v>70465.19</v>
      </c>
      <c r="AA42" s="53">
        <v>78719.490000000005</v>
      </c>
      <c r="AB42" s="17">
        <v>75758.960000000006</v>
      </c>
      <c r="AC42" s="53"/>
      <c r="AD42" s="16">
        <f t="shared" si="33"/>
        <v>224943.64</v>
      </c>
    </row>
    <row r="43" spans="1:30" x14ac:dyDescent="0.25">
      <c r="A43" s="24" t="s">
        <v>90</v>
      </c>
      <c r="B43" s="77" t="s">
        <v>74</v>
      </c>
      <c r="C43" s="77"/>
      <c r="D43" s="77"/>
      <c r="E43" s="77"/>
      <c r="F43" s="77">
        <v>4.51</v>
      </c>
      <c r="G43" s="77"/>
      <c r="H43" s="77"/>
      <c r="I43" s="77"/>
      <c r="J43" s="79">
        <v>4.88</v>
      </c>
      <c r="K43" s="79"/>
      <c r="L43" s="79"/>
      <c r="M43" s="82">
        <f t="shared" si="27"/>
        <v>8.2039911308204025E-2</v>
      </c>
      <c r="N43" s="82"/>
      <c r="O43" s="82"/>
      <c r="P43" s="82"/>
      <c r="Q43" s="77">
        <v>5810.83</v>
      </c>
      <c r="R43" s="77"/>
      <c r="S43" s="77"/>
      <c r="T43" s="77"/>
      <c r="U43" s="50">
        <f t="shared" si="28"/>
        <v>28356.850399999999</v>
      </c>
      <c r="V43" s="16">
        <f t="shared" si="29"/>
        <v>85070.551200000002</v>
      </c>
      <c r="W43" s="53">
        <f t="shared" si="30"/>
        <v>170141.1024</v>
      </c>
      <c r="X43" s="16">
        <f t="shared" si="31"/>
        <v>255211.65360000002</v>
      </c>
      <c r="Y43" s="52">
        <f t="shared" si="32"/>
        <v>340282.20480000001</v>
      </c>
      <c r="Z43" s="53">
        <v>85600.08</v>
      </c>
      <c r="AA43" s="53">
        <v>81993.759999999995</v>
      </c>
      <c r="AB43" s="17">
        <v>104861.44</v>
      </c>
      <c r="AC43" s="53"/>
      <c r="AD43" s="16">
        <f t="shared" si="33"/>
        <v>272455.28000000003</v>
      </c>
    </row>
    <row r="44" spans="1:30" x14ac:dyDescent="0.25">
      <c r="A44" s="24" t="s">
        <v>91</v>
      </c>
      <c r="B44" s="77" t="s">
        <v>74</v>
      </c>
      <c r="C44" s="77"/>
      <c r="D44" s="77"/>
      <c r="E44" s="77"/>
      <c r="F44" s="77">
        <v>2.44</v>
      </c>
      <c r="G44" s="77"/>
      <c r="H44" s="77"/>
      <c r="I44" s="77"/>
      <c r="J44" s="79">
        <v>2.67</v>
      </c>
      <c r="K44" s="79"/>
      <c r="L44" s="79"/>
      <c r="M44" s="82">
        <f t="shared" si="27"/>
        <v>9.4262295081967207E-2</v>
      </c>
      <c r="N44" s="82"/>
      <c r="O44" s="82"/>
      <c r="P44" s="82"/>
      <c r="Q44" s="77">
        <v>2840.67</v>
      </c>
      <c r="R44" s="77"/>
      <c r="S44" s="77"/>
      <c r="T44" s="77"/>
      <c r="U44" s="50">
        <f t="shared" si="28"/>
        <v>7584.5888999999997</v>
      </c>
      <c r="V44" s="16">
        <f t="shared" si="29"/>
        <v>22753.7667</v>
      </c>
      <c r="W44" s="53">
        <f t="shared" si="30"/>
        <v>45507.5334</v>
      </c>
      <c r="X44" s="16">
        <f t="shared" si="31"/>
        <v>68261.300099999993</v>
      </c>
      <c r="Y44" s="52">
        <f t="shared" si="32"/>
        <v>91015.066800000001</v>
      </c>
      <c r="Z44" s="53">
        <v>23012.73</v>
      </c>
      <c r="AA44" s="53">
        <v>24187.53</v>
      </c>
      <c r="AB44" s="17">
        <v>30176.34</v>
      </c>
      <c r="AC44" s="53"/>
      <c r="AD44" s="16">
        <f t="shared" si="33"/>
        <v>77376.599999999991</v>
      </c>
    </row>
    <row r="45" spans="1:30" x14ac:dyDescent="0.25">
      <c r="A45" s="79" t="s">
        <v>98</v>
      </c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52">
        <f t="shared" ref="U45:AC45" si="34">SUM(U39:U44)</f>
        <v>226159.25404999973</v>
      </c>
      <c r="V45" s="52">
        <f t="shared" si="34"/>
        <v>678477.76214999927</v>
      </c>
      <c r="W45" s="52">
        <f t="shared" si="34"/>
        <v>1356955.5242999985</v>
      </c>
      <c r="X45" s="52">
        <f t="shared" si="34"/>
        <v>2035433.2864499982</v>
      </c>
      <c r="Y45" s="52">
        <f t="shared" si="34"/>
        <v>2713911.0485999971</v>
      </c>
      <c r="Z45" s="52">
        <f t="shared" si="34"/>
        <v>434729.5</v>
      </c>
      <c r="AA45" s="52">
        <f t="shared" si="34"/>
        <v>511584.9</v>
      </c>
      <c r="AB45" s="52">
        <f t="shared" si="34"/>
        <v>615701.41</v>
      </c>
      <c r="AC45" s="52">
        <f t="shared" si="34"/>
        <v>0</v>
      </c>
      <c r="AD45" s="13">
        <f t="shared" si="33"/>
        <v>1562015.81</v>
      </c>
    </row>
    <row r="46" spans="1:30" ht="30" customHeight="1" x14ac:dyDescent="0.25">
      <c r="A46" s="86" t="s">
        <v>203</v>
      </c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22">
        <f t="shared" ref="U46:AC46" si="35">SUM(U45,U35)</f>
        <v>1223998.5755499997</v>
      </c>
      <c r="V46" s="22">
        <f t="shared" si="35"/>
        <v>3671995.7266499996</v>
      </c>
      <c r="W46" s="22">
        <f t="shared" si="35"/>
        <v>7343991.4532999992</v>
      </c>
      <c r="X46" s="22">
        <f t="shared" si="35"/>
        <v>11015987.179949999</v>
      </c>
      <c r="Y46" s="22">
        <f t="shared" si="35"/>
        <v>14687982.906599998</v>
      </c>
      <c r="Z46" s="54">
        <f t="shared" si="35"/>
        <v>3907394.9699999993</v>
      </c>
      <c r="AA46" s="54">
        <f t="shared" si="35"/>
        <v>3769966.3399999994</v>
      </c>
      <c r="AB46" s="54">
        <f t="shared" si="35"/>
        <v>3106264.69</v>
      </c>
      <c r="AC46" s="54">
        <f t="shared" si="35"/>
        <v>0</v>
      </c>
      <c r="AD46" s="54">
        <f t="shared" si="33"/>
        <v>10783625.999999998</v>
      </c>
    </row>
    <row r="47" spans="1:30" x14ac:dyDescent="0.25">
      <c r="A47" s="73" t="s">
        <v>99</v>
      </c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</row>
    <row r="48" spans="1:30" ht="15" customHeight="1" x14ac:dyDescent="0.25">
      <c r="A48" s="78" t="s">
        <v>36</v>
      </c>
      <c r="B48" s="81" t="s">
        <v>68</v>
      </c>
      <c r="C48" s="81"/>
      <c r="D48" s="81"/>
      <c r="E48" s="81"/>
      <c r="F48" s="81"/>
      <c r="G48" s="81"/>
      <c r="H48" s="81" t="s">
        <v>69</v>
      </c>
      <c r="I48" s="81"/>
      <c r="J48" s="81"/>
      <c r="K48" s="81"/>
      <c r="L48" s="81"/>
      <c r="M48" s="81"/>
      <c r="N48" s="81" t="s">
        <v>70</v>
      </c>
      <c r="O48" s="81"/>
      <c r="P48" s="81"/>
      <c r="Q48" s="81"/>
      <c r="R48" s="81"/>
      <c r="S48" s="81"/>
      <c r="T48" s="81"/>
      <c r="U48" s="76" t="s">
        <v>100</v>
      </c>
      <c r="V48" s="76"/>
      <c r="W48" s="76"/>
      <c r="X48" s="76"/>
      <c r="Y48" s="76"/>
      <c r="Z48" s="71" t="s">
        <v>201</v>
      </c>
      <c r="AA48" s="71"/>
      <c r="AB48" s="71"/>
      <c r="AC48" s="71"/>
      <c r="AD48" s="71"/>
    </row>
    <row r="49" spans="1:30" ht="15" customHeight="1" x14ac:dyDescent="0.25">
      <c r="A49" s="78"/>
      <c r="B49" s="81"/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76"/>
      <c r="V49" s="76"/>
      <c r="W49" s="76"/>
      <c r="X49" s="76"/>
      <c r="Y49" s="76"/>
      <c r="Z49" s="71"/>
      <c r="AA49" s="71"/>
      <c r="AB49" s="71"/>
      <c r="AC49" s="71"/>
      <c r="AD49" s="71"/>
    </row>
    <row r="50" spans="1:30" ht="45" x14ac:dyDescent="0.25">
      <c r="A50" s="78"/>
      <c r="B50" s="56" t="s">
        <v>44</v>
      </c>
      <c r="C50" s="55" t="s">
        <v>106</v>
      </c>
      <c r="D50" s="55" t="s">
        <v>107</v>
      </c>
      <c r="E50" s="55" t="s">
        <v>158</v>
      </c>
      <c r="F50" s="10" t="s">
        <v>78</v>
      </c>
      <c r="G50" s="55" t="s">
        <v>45</v>
      </c>
      <c r="H50" s="56" t="s">
        <v>43</v>
      </c>
      <c r="I50" s="55" t="s">
        <v>106</v>
      </c>
      <c r="J50" s="55" t="s">
        <v>107</v>
      </c>
      <c r="K50" s="55" t="s">
        <v>158</v>
      </c>
      <c r="L50" s="10" t="s">
        <v>78</v>
      </c>
      <c r="M50" s="56" t="s">
        <v>45</v>
      </c>
      <c r="N50" s="56" t="s">
        <v>43</v>
      </c>
      <c r="O50" s="55" t="s">
        <v>106</v>
      </c>
      <c r="P50" s="55" t="s">
        <v>107</v>
      </c>
      <c r="Q50" s="55" t="s">
        <v>158</v>
      </c>
      <c r="R50" s="10" t="s">
        <v>78</v>
      </c>
      <c r="S50" s="56" t="s">
        <v>45</v>
      </c>
      <c r="T50" s="55" t="s">
        <v>53</v>
      </c>
      <c r="U50" s="56" t="s">
        <v>54</v>
      </c>
      <c r="V50" s="53" t="s">
        <v>189</v>
      </c>
      <c r="W50" s="53" t="s">
        <v>190</v>
      </c>
      <c r="X50" s="53" t="s">
        <v>191</v>
      </c>
      <c r="Y50" s="53" t="s">
        <v>192</v>
      </c>
      <c r="Z50" s="53" t="s">
        <v>195</v>
      </c>
      <c r="AA50" s="53" t="s">
        <v>196</v>
      </c>
      <c r="AB50" s="53" t="s">
        <v>197</v>
      </c>
      <c r="AC50" s="53" t="s">
        <v>198</v>
      </c>
      <c r="AD50" s="53" t="s">
        <v>55</v>
      </c>
    </row>
    <row r="51" spans="1:30" x14ac:dyDescent="0.25">
      <c r="A51" s="78"/>
      <c r="B51" s="49" t="s">
        <v>42</v>
      </c>
      <c r="C51" s="54">
        <v>7172.8</v>
      </c>
      <c r="D51" s="24">
        <v>11.74</v>
      </c>
      <c r="E51" s="52">
        <v>12.71</v>
      </c>
      <c r="F51" s="26">
        <f>(E51-D51)/D51</f>
        <v>8.2623509369676371E-2</v>
      </c>
      <c r="G51" s="52">
        <f>SUM(C51*E51)</f>
        <v>91166.288000000015</v>
      </c>
      <c r="H51" s="49" t="s">
        <v>42</v>
      </c>
      <c r="I51" s="54">
        <v>879.2</v>
      </c>
      <c r="J51" s="24">
        <v>11.74</v>
      </c>
      <c r="K51" s="52">
        <v>12.71</v>
      </c>
      <c r="L51" s="26">
        <f>(K51-J51)/J51</f>
        <v>8.2623509369676371E-2</v>
      </c>
      <c r="M51" s="13">
        <f>SUM(I51*K51)</f>
        <v>11174.632000000001</v>
      </c>
      <c r="N51" s="49" t="s">
        <v>42</v>
      </c>
      <c r="O51" s="54">
        <v>2150.25</v>
      </c>
      <c r="P51" s="24">
        <v>11.74</v>
      </c>
      <c r="Q51" s="52">
        <v>12.71</v>
      </c>
      <c r="R51" s="26">
        <f>(Q51-P51)/P51</f>
        <v>8.2623509369676371E-2</v>
      </c>
      <c r="S51" s="13">
        <f>SUM(O51*Q51)</f>
        <v>27329.677500000002</v>
      </c>
      <c r="T51" s="23">
        <f>SUM(Q51)*28.67</f>
        <v>364.39570000000003</v>
      </c>
      <c r="U51" s="52">
        <f>SUM(G51,M51,S51)</f>
        <v>129670.59750000002</v>
      </c>
      <c r="V51" s="52">
        <f>SUM(U51)*3</f>
        <v>389011.79250000004</v>
      </c>
      <c r="W51" s="52">
        <f>SUM(V51)*2</f>
        <v>778023.58500000008</v>
      </c>
      <c r="X51" s="13">
        <f t="shared" ref="X51" si="36">SUM(V51)*3</f>
        <v>1167035.3775000002</v>
      </c>
      <c r="Y51" s="52">
        <f>SUM(U51)*12</f>
        <v>1556047.1700000002</v>
      </c>
      <c r="Z51" s="17">
        <v>399767.12</v>
      </c>
      <c r="AA51" s="17">
        <v>394311.79</v>
      </c>
      <c r="AB51" s="17">
        <v>392821.6</v>
      </c>
      <c r="AC51" s="17"/>
      <c r="AD51" s="13">
        <f t="shared" ref="AD51" si="37">SUM(Z51,AA51,AB51,AC51)</f>
        <v>1186900.5099999998</v>
      </c>
    </row>
    <row r="52" spans="1:30" x14ac:dyDescent="0.25">
      <c r="A52" s="72" t="s">
        <v>101</v>
      </c>
      <c r="B52" s="72"/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22">
        <f>SUM(U51,U46)</f>
        <v>1353669.1730499996</v>
      </c>
      <c r="V52" s="22">
        <f t="shared" ref="V52:X52" si="38">SUM(V51,V46)</f>
        <v>4061007.5191499996</v>
      </c>
      <c r="W52" s="22">
        <f t="shared" si="38"/>
        <v>8122015.0382999992</v>
      </c>
      <c r="X52" s="22">
        <f t="shared" si="38"/>
        <v>12183022.557449998</v>
      </c>
      <c r="Y52" s="22">
        <f>SUM(Y51,Y46)</f>
        <v>16244030.076599998</v>
      </c>
      <c r="Z52" s="22">
        <f t="shared" ref="Z52:AC52" si="39">SUM(Z51,Z46)</f>
        <v>4307162.0899999989</v>
      </c>
      <c r="AA52" s="22">
        <f t="shared" si="39"/>
        <v>4164278.1299999994</v>
      </c>
      <c r="AB52" s="22">
        <f t="shared" si="39"/>
        <v>3499086.29</v>
      </c>
      <c r="AC52" s="22">
        <f t="shared" si="39"/>
        <v>0</v>
      </c>
      <c r="AD52" s="54">
        <f>SUM(Z52,AA52,AB52,AC52)</f>
        <v>11970526.509999998</v>
      </c>
    </row>
    <row r="53" spans="1:30" x14ac:dyDescent="0.25">
      <c r="A53" s="60"/>
      <c r="B53" s="73" t="s">
        <v>105</v>
      </c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81" t="s">
        <v>102</v>
      </c>
      <c r="V53" s="81"/>
      <c r="W53" s="81"/>
      <c r="X53" s="81"/>
      <c r="Y53" s="81"/>
      <c r="Z53" s="81"/>
      <c r="AA53" s="81"/>
      <c r="AB53" s="81"/>
      <c r="AC53" s="81"/>
      <c r="AD53" s="81"/>
    </row>
    <row r="54" spans="1:30" ht="28.5" customHeight="1" x14ac:dyDescent="0.25">
      <c r="A54" s="61"/>
      <c r="B54" s="73"/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83" t="s">
        <v>204</v>
      </c>
      <c r="V54" s="83"/>
      <c r="W54" s="83"/>
      <c r="X54" s="83"/>
      <c r="Y54" s="83"/>
      <c r="Z54" s="83"/>
      <c r="AA54" s="83"/>
      <c r="AB54" s="83"/>
      <c r="AC54" s="83"/>
      <c r="AD54" s="83"/>
    </row>
    <row r="55" spans="1:30" ht="15" customHeight="1" x14ac:dyDescent="0.25">
      <c r="A55" s="60"/>
      <c r="B55" s="80" t="s">
        <v>183</v>
      </c>
      <c r="C55" s="80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5" t="s">
        <v>93</v>
      </c>
      <c r="V55" s="85"/>
      <c r="W55" s="80" t="s">
        <v>103</v>
      </c>
      <c r="X55" s="80"/>
      <c r="Y55" s="80"/>
      <c r="Z55" s="85" t="s">
        <v>94</v>
      </c>
      <c r="AA55" s="85"/>
      <c r="AB55" s="85"/>
      <c r="AC55" s="85" t="s">
        <v>95</v>
      </c>
      <c r="AD55" s="85"/>
    </row>
    <row r="56" spans="1:30" ht="15" customHeight="1" x14ac:dyDescent="0.25">
      <c r="A56" s="62"/>
      <c r="B56" s="80"/>
      <c r="C56" s="80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5"/>
      <c r="V56" s="85"/>
      <c r="W56" s="80"/>
      <c r="X56" s="80"/>
      <c r="Y56" s="80"/>
      <c r="Z56" s="85"/>
      <c r="AA56" s="85"/>
      <c r="AB56" s="85"/>
      <c r="AC56" s="85"/>
      <c r="AD56" s="85"/>
    </row>
    <row r="57" spans="1:30" x14ac:dyDescent="0.25">
      <c r="A57" s="62"/>
      <c r="B57" s="80"/>
      <c r="C57" s="80"/>
      <c r="D57" s="80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5"/>
      <c r="V57" s="85"/>
      <c r="W57" s="80"/>
      <c r="X57" s="80"/>
      <c r="Y57" s="80"/>
      <c r="Z57" s="85"/>
      <c r="AA57" s="85"/>
      <c r="AB57" s="85"/>
      <c r="AC57" s="85"/>
      <c r="AD57" s="85"/>
    </row>
    <row r="58" spans="1:30" x14ac:dyDescent="0.25">
      <c r="A58" s="62"/>
      <c r="B58" s="80"/>
      <c r="C58" s="80"/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5"/>
      <c r="V58" s="85"/>
      <c r="W58" s="80"/>
      <c r="X58" s="80"/>
      <c r="Y58" s="80"/>
      <c r="Z58" s="85"/>
      <c r="AA58" s="85"/>
      <c r="AB58" s="85"/>
      <c r="AC58" s="85"/>
      <c r="AD58" s="85"/>
    </row>
    <row r="59" spans="1:30" x14ac:dyDescent="0.25">
      <c r="A59" s="62"/>
      <c r="B59" s="80"/>
      <c r="C59" s="80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4">
        <v>8156480.8099999996</v>
      </c>
      <c r="V59" s="84"/>
      <c r="W59" s="84">
        <v>7959601.4400000004</v>
      </c>
      <c r="X59" s="84"/>
      <c r="Y59" s="84"/>
      <c r="Z59" s="84">
        <v>2264714</v>
      </c>
      <c r="AA59" s="84"/>
      <c r="AB59" s="84"/>
      <c r="AC59" s="84">
        <v>5694887.4400000004</v>
      </c>
      <c r="AD59" s="84"/>
    </row>
    <row r="60" spans="1:30" x14ac:dyDescent="0.25">
      <c r="C60" s="36"/>
      <c r="D60" s="36"/>
    </row>
    <row r="64" spans="1:30" ht="15" customHeight="1" x14ac:dyDescent="0.25"/>
  </sheetData>
  <mergeCells count="68">
    <mergeCell ref="Q38:T38"/>
    <mergeCell ref="Q43:T43"/>
    <mergeCell ref="M39:P39"/>
    <mergeCell ref="Q39:T39"/>
    <mergeCell ref="M40:P40"/>
    <mergeCell ref="M41:P41"/>
    <mergeCell ref="Q40:T40"/>
    <mergeCell ref="Q41:T41"/>
    <mergeCell ref="B40:E40"/>
    <mergeCell ref="B41:E41"/>
    <mergeCell ref="B43:E43"/>
    <mergeCell ref="B39:E39"/>
    <mergeCell ref="F39:I39"/>
    <mergeCell ref="J42:L42"/>
    <mergeCell ref="A45:T45"/>
    <mergeCell ref="B42:E42"/>
    <mergeCell ref="A46:T46"/>
    <mergeCell ref="J43:L43"/>
    <mergeCell ref="J44:L44"/>
    <mergeCell ref="Q44:T44"/>
    <mergeCell ref="U54:AD54"/>
    <mergeCell ref="Q42:T42"/>
    <mergeCell ref="AC59:AD59"/>
    <mergeCell ref="U55:V58"/>
    <mergeCell ref="W55:Y58"/>
    <mergeCell ref="Z55:AB58"/>
    <mergeCell ref="AC55:AD58"/>
    <mergeCell ref="U59:V59"/>
    <mergeCell ref="W59:Y59"/>
    <mergeCell ref="Z59:AB59"/>
    <mergeCell ref="A52:T52"/>
    <mergeCell ref="B48:G49"/>
    <mergeCell ref="H48:M49"/>
    <mergeCell ref="N48:T49"/>
    <mergeCell ref="A48:A51"/>
    <mergeCell ref="U53:AD53"/>
    <mergeCell ref="B53:T54"/>
    <mergeCell ref="B55:T59"/>
    <mergeCell ref="A35:T35"/>
    <mergeCell ref="A2:A4"/>
    <mergeCell ref="B2:G3"/>
    <mergeCell ref="H2:M3"/>
    <mergeCell ref="N2:T3"/>
    <mergeCell ref="B44:E44"/>
    <mergeCell ref="M38:P38"/>
    <mergeCell ref="M43:P43"/>
    <mergeCell ref="M44:P44"/>
    <mergeCell ref="M42:P42"/>
    <mergeCell ref="F38:I38"/>
    <mergeCell ref="F43:I43"/>
    <mergeCell ref="F44:I44"/>
    <mergeCell ref="F40:I40"/>
    <mergeCell ref="Z2:AD3"/>
    <mergeCell ref="Z37:AD37"/>
    <mergeCell ref="A36:AD36"/>
    <mergeCell ref="Z48:AD49"/>
    <mergeCell ref="A1:AD1"/>
    <mergeCell ref="A47:AD47"/>
    <mergeCell ref="U2:Y3"/>
    <mergeCell ref="A37:Y37"/>
    <mergeCell ref="U48:Y49"/>
    <mergeCell ref="F41:I41"/>
    <mergeCell ref="J38:L38"/>
    <mergeCell ref="J40:L40"/>
    <mergeCell ref="J41:L41"/>
    <mergeCell ref="F42:I42"/>
    <mergeCell ref="B38:E38"/>
    <mergeCell ref="J39:L39"/>
  </mergeCells>
  <pageMargins left="0.7" right="0.7" top="0.75" bottom="0.75" header="0.3" footer="0.3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71"/>
  <sheetViews>
    <sheetView zoomScaleNormal="100" workbookViewId="0">
      <selection activeCell="G22" sqref="G22"/>
    </sheetView>
  </sheetViews>
  <sheetFormatPr defaultRowHeight="15" x14ac:dyDescent="0.25"/>
  <cols>
    <col min="1" max="1" width="7.42578125" style="4" customWidth="1"/>
    <col min="2" max="2" width="43.5703125" style="4" customWidth="1"/>
    <col min="3" max="3" width="14.28515625" style="4" customWidth="1"/>
    <col min="4" max="4" width="15" style="4" customWidth="1"/>
    <col min="5" max="5" width="26.7109375" style="4" customWidth="1"/>
    <col min="6" max="6" width="47.85546875" style="4" customWidth="1"/>
    <col min="7" max="7" width="54.7109375" style="4" customWidth="1"/>
    <col min="8" max="16384" width="9.140625" style="4"/>
  </cols>
  <sheetData>
    <row r="1" spans="1:13" ht="18.75" x14ac:dyDescent="0.3">
      <c r="A1" s="88" t="s">
        <v>181</v>
      </c>
      <c r="B1" s="88"/>
      <c r="C1" s="88"/>
      <c r="D1" s="88"/>
      <c r="E1" s="88"/>
      <c r="F1" s="88"/>
    </row>
    <row r="3" spans="1:13" ht="15.75" x14ac:dyDescent="0.25">
      <c r="A3" s="89" t="s">
        <v>66</v>
      </c>
      <c r="B3" s="89"/>
      <c r="C3" s="89"/>
      <c r="D3" s="89"/>
      <c r="E3" s="89"/>
      <c r="F3" s="89"/>
    </row>
    <row r="5" spans="1:13" x14ac:dyDescent="0.25">
      <c r="A5" s="90" t="s">
        <v>110</v>
      </c>
      <c r="B5" s="90"/>
      <c r="C5" s="90"/>
      <c r="D5" s="90"/>
      <c r="E5" s="90"/>
      <c r="F5" s="90"/>
    </row>
    <row r="6" spans="1:13" x14ac:dyDescent="0.25">
      <c r="A6" s="90" t="s">
        <v>111</v>
      </c>
      <c r="B6" s="90"/>
      <c r="C6" s="90"/>
      <c r="D6" s="90"/>
      <c r="E6" s="90"/>
      <c r="F6" s="90"/>
    </row>
    <row r="7" spans="1:13" x14ac:dyDescent="0.25">
      <c r="A7" s="2" t="s">
        <v>0</v>
      </c>
      <c r="B7" s="2" t="s">
        <v>1</v>
      </c>
      <c r="C7" s="2" t="s">
        <v>2</v>
      </c>
      <c r="D7" s="2" t="s">
        <v>3</v>
      </c>
      <c r="E7" s="2" t="s">
        <v>16</v>
      </c>
      <c r="F7" s="2" t="s">
        <v>15</v>
      </c>
    </row>
    <row r="8" spans="1:13" ht="30" x14ac:dyDescent="0.25">
      <c r="A8" s="1" t="s">
        <v>120</v>
      </c>
      <c r="B8" s="2" t="s">
        <v>4</v>
      </c>
      <c r="C8" s="6">
        <f>SUM(D8)/12</f>
        <v>168837.5</v>
      </c>
      <c r="D8" s="6">
        <v>2026050</v>
      </c>
      <c r="E8" s="2"/>
      <c r="F8" s="2" t="s">
        <v>152</v>
      </c>
    </row>
    <row r="9" spans="1:13" ht="30" x14ac:dyDescent="0.25">
      <c r="A9" s="1" t="s">
        <v>112</v>
      </c>
      <c r="B9" s="2" t="s">
        <v>58</v>
      </c>
      <c r="C9" s="6">
        <v>8400</v>
      </c>
      <c r="D9" s="6">
        <f>SUM(C9)*12</f>
        <v>100800</v>
      </c>
      <c r="E9" s="2"/>
      <c r="F9" s="2" t="s">
        <v>164</v>
      </c>
    </row>
    <row r="10" spans="1:13" ht="30" x14ac:dyDescent="0.25">
      <c r="A10" s="1" t="s">
        <v>113</v>
      </c>
      <c r="B10" s="2" t="s">
        <v>5</v>
      </c>
      <c r="C10" s="6">
        <v>750</v>
      </c>
      <c r="D10" s="6">
        <f>SUM(C10)*12</f>
        <v>9000</v>
      </c>
      <c r="E10" s="2"/>
      <c r="F10" s="2" t="s">
        <v>164</v>
      </c>
    </row>
    <row r="11" spans="1:13" ht="45" x14ac:dyDescent="0.25">
      <c r="A11" s="1" t="s">
        <v>114</v>
      </c>
      <c r="B11" s="2" t="s">
        <v>46</v>
      </c>
      <c r="C11" s="6">
        <f>SUM(C8)*30.2%</f>
        <v>50988.924999999996</v>
      </c>
      <c r="D11" s="6">
        <f>SUM(D8)*30.2%</f>
        <v>611867.1</v>
      </c>
      <c r="E11" s="2"/>
      <c r="F11" s="2" t="s">
        <v>150</v>
      </c>
      <c r="H11" s="39"/>
    </row>
    <row r="12" spans="1:13" ht="75" x14ac:dyDescent="0.25">
      <c r="A12" s="1" t="s">
        <v>115</v>
      </c>
      <c r="B12" s="2" t="s">
        <v>9</v>
      </c>
      <c r="C12" s="6">
        <v>875</v>
      </c>
      <c r="D12" s="6">
        <f>SUM(C12)*12</f>
        <v>10500</v>
      </c>
      <c r="E12" s="2"/>
      <c r="F12" s="2" t="s">
        <v>165</v>
      </c>
      <c r="G12" s="42"/>
      <c r="J12" s="70"/>
      <c r="K12" s="70"/>
      <c r="L12" s="70"/>
      <c r="M12" s="70"/>
    </row>
    <row r="13" spans="1:13" ht="105" x14ac:dyDescent="0.25">
      <c r="A13" s="1" t="s">
        <v>116</v>
      </c>
      <c r="B13" s="2" t="s">
        <v>10</v>
      </c>
      <c r="C13" s="6">
        <v>6920.4</v>
      </c>
      <c r="D13" s="6">
        <f>SUM(C13)*12</f>
        <v>83044.799999999988</v>
      </c>
      <c r="E13" s="2" t="s">
        <v>161</v>
      </c>
      <c r="F13" s="2" t="s">
        <v>162</v>
      </c>
      <c r="G13" s="43"/>
    </row>
    <row r="14" spans="1:13" ht="30" x14ac:dyDescent="0.25">
      <c r="A14" s="1" t="s">
        <v>117</v>
      </c>
      <c r="B14" s="2" t="s">
        <v>7</v>
      </c>
      <c r="C14" s="6">
        <v>3500</v>
      </c>
      <c r="D14" s="6">
        <f>SUM(C14)*12</f>
        <v>42000</v>
      </c>
      <c r="E14" s="2"/>
      <c r="F14" s="2" t="s">
        <v>163</v>
      </c>
      <c r="G14" s="43"/>
    </row>
    <row r="15" spans="1:13" ht="30" x14ac:dyDescent="0.25">
      <c r="A15" s="1" t="s">
        <v>118</v>
      </c>
      <c r="B15" s="2" t="s">
        <v>6</v>
      </c>
      <c r="C15" s="6">
        <v>833.33</v>
      </c>
      <c r="D15" s="6">
        <f>SUM(C15)*12</f>
        <v>9999.9600000000009</v>
      </c>
      <c r="E15" s="2"/>
      <c r="F15" s="2" t="s">
        <v>164</v>
      </c>
      <c r="G15" s="43"/>
    </row>
    <row r="16" spans="1:13" ht="30" x14ac:dyDescent="0.25">
      <c r="A16" s="1" t="s">
        <v>119</v>
      </c>
      <c r="B16" s="2" t="s">
        <v>8</v>
      </c>
      <c r="C16" s="6">
        <v>700</v>
      </c>
      <c r="D16" s="6">
        <f>SUM(C16)*12</f>
        <v>8400</v>
      </c>
      <c r="E16" s="2" t="s">
        <v>19</v>
      </c>
      <c r="F16" s="2" t="s">
        <v>166</v>
      </c>
    </row>
    <row r="17" spans="1:7" x14ac:dyDescent="0.25">
      <c r="A17" s="1"/>
      <c r="B17" s="3" t="s">
        <v>11</v>
      </c>
      <c r="C17" s="5">
        <f>SUM(C8:C16)</f>
        <v>241805.15499999997</v>
      </c>
      <c r="D17" s="5">
        <f>SUM(D8:D16)</f>
        <v>2901661.86</v>
      </c>
      <c r="E17" s="2"/>
      <c r="F17" s="2"/>
    </row>
    <row r="19" spans="1:7" x14ac:dyDescent="0.25">
      <c r="A19" s="90" t="s">
        <v>121</v>
      </c>
      <c r="B19" s="90"/>
      <c r="C19" s="90"/>
      <c r="D19" s="90"/>
      <c r="E19" s="90"/>
      <c r="F19" s="90"/>
    </row>
    <row r="21" spans="1:7" x14ac:dyDescent="0.25">
      <c r="A21" s="2" t="s">
        <v>0</v>
      </c>
      <c r="B21" s="2" t="s">
        <v>1</v>
      </c>
      <c r="C21" s="2" t="s">
        <v>2</v>
      </c>
      <c r="D21" s="2" t="s">
        <v>3</v>
      </c>
      <c r="E21" s="2" t="s">
        <v>16</v>
      </c>
      <c r="F21" s="2" t="s">
        <v>15</v>
      </c>
    </row>
    <row r="22" spans="1:7" ht="135" x14ac:dyDescent="0.25">
      <c r="A22" s="1" t="s">
        <v>122</v>
      </c>
      <c r="B22" s="2" t="s">
        <v>30</v>
      </c>
      <c r="C22" s="6">
        <v>1066.67</v>
      </c>
      <c r="D22" s="6">
        <f>SUM(C22)*12</f>
        <v>12800.04</v>
      </c>
      <c r="E22" s="2" t="s">
        <v>31</v>
      </c>
      <c r="F22" s="2" t="s">
        <v>180</v>
      </c>
    </row>
    <row r="23" spans="1:7" ht="45" x14ac:dyDescent="0.25">
      <c r="A23" s="1" t="s">
        <v>123</v>
      </c>
      <c r="B23" s="2" t="s">
        <v>24</v>
      </c>
      <c r="C23" s="6">
        <v>1576.06</v>
      </c>
      <c r="D23" s="6">
        <f>SUM(C23)*12</f>
        <v>18912.72</v>
      </c>
      <c r="E23" s="2" t="s">
        <v>25</v>
      </c>
      <c r="F23" s="2" t="s">
        <v>167</v>
      </c>
      <c r="G23" s="44"/>
    </row>
    <row r="24" spans="1:7" ht="60" x14ac:dyDescent="0.25">
      <c r="A24" s="1" t="s">
        <v>124</v>
      </c>
      <c r="B24" s="2" t="s">
        <v>18</v>
      </c>
      <c r="C24" s="6">
        <v>16500</v>
      </c>
      <c r="D24" s="6">
        <f>SUM(C24)*12</f>
        <v>198000</v>
      </c>
      <c r="E24" s="2" t="s">
        <v>84</v>
      </c>
      <c r="F24" s="2" t="s">
        <v>168</v>
      </c>
    </row>
    <row r="25" spans="1:7" ht="45" x14ac:dyDescent="0.25">
      <c r="A25" s="1" t="s">
        <v>125</v>
      </c>
      <c r="B25" s="33" t="s">
        <v>22</v>
      </c>
      <c r="C25" s="40">
        <v>15093.34</v>
      </c>
      <c r="D25" s="40">
        <f>SUM(C25)*12</f>
        <v>181120.08000000002</v>
      </c>
      <c r="E25" s="33" t="s">
        <v>23</v>
      </c>
      <c r="F25" s="33" t="s">
        <v>169</v>
      </c>
      <c r="G25" s="44"/>
    </row>
    <row r="26" spans="1:7" ht="30" x14ac:dyDescent="0.25">
      <c r="A26" s="1" t="s">
        <v>126</v>
      </c>
      <c r="B26" s="2" t="s">
        <v>12</v>
      </c>
      <c r="C26" s="6">
        <f>SUM(D26)/12</f>
        <v>134737.41666666666</v>
      </c>
      <c r="D26" s="6">
        <v>1616849</v>
      </c>
      <c r="E26" s="2"/>
      <c r="F26" s="2" t="s">
        <v>82</v>
      </c>
      <c r="G26" s="45"/>
    </row>
    <row r="27" spans="1:7" ht="45" x14ac:dyDescent="0.25">
      <c r="A27" s="1" t="s">
        <v>127</v>
      </c>
      <c r="B27" s="2" t="s">
        <v>49</v>
      </c>
      <c r="C27" s="6">
        <v>5250</v>
      </c>
      <c r="D27" s="6">
        <f>SUM(C27)*12</f>
        <v>63000</v>
      </c>
      <c r="E27" s="2"/>
      <c r="F27" s="2" t="s">
        <v>170</v>
      </c>
    </row>
    <row r="28" spans="1:7" ht="30" x14ac:dyDescent="0.25">
      <c r="A28" s="1" t="s">
        <v>128</v>
      </c>
      <c r="B28" s="2" t="s">
        <v>81</v>
      </c>
      <c r="C28" s="6">
        <v>5000</v>
      </c>
      <c r="D28" s="6">
        <f>SUM(C28)*12</f>
        <v>60000</v>
      </c>
      <c r="E28" s="2"/>
      <c r="F28" s="2" t="s">
        <v>153</v>
      </c>
      <c r="G28" s="43"/>
    </row>
    <row r="29" spans="1:7" x14ac:dyDescent="0.25">
      <c r="A29" s="1" t="s">
        <v>129</v>
      </c>
      <c r="B29" s="2" t="s">
        <v>65</v>
      </c>
      <c r="C29" s="6">
        <v>18750</v>
      </c>
      <c r="D29" s="6">
        <f>SUM(C29)*12</f>
        <v>225000</v>
      </c>
      <c r="E29" s="2"/>
      <c r="F29" s="2" t="s">
        <v>88</v>
      </c>
    </row>
    <row r="30" spans="1:7" ht="45" x14ac:dyDescent="0.25">
      <c r="A30" s="1" t="s">
        <v>130</v>
      </c>
      <c r="B30" s="2" t="s">
        <v>47</v>
      </c>
      <c r="C30" s="6">
        <f>SUM(C26)*30.2%</f>
        <v>40690.699833333332</v>
      </c>
      <c r="D30" s="6">
        <f>SUM(D26)*30.2%</f>
        <v>488288.39799999999</v>
      </c>
      <c r="E30" s="2"/>
      <c r="F30" s="2" t="s">
        <v>154</v>
      </c>
    </row>
    <row r="31" spans="1:7" ht="79.5" customHeight="1" x14ac:dyDescent="0.25">
      <c r="A31" s="1" t="s">
        <v>131</v>
      </c>
      <c r="B31" s="2" t="s">
        <v>20</v>
      </c>
      <c r="C31" s="6">
        <v>223310</v>
      </c>
      <c r="D31" s="6">
        <f t="shared" ref="D31:D36" si="0">SUM(C31)*12</f>
        <v>2679720</v>
      </c>
      <c r="E31" s="2" t="s">
        <v>109</v>
      </c>
      <c r="F31" s="2" t="s">
        <v>171</v>
      </c>
      <c r="G31" s="44"/>
    </row>
    <row r="32" spans="1:7" ht="75" x14ac:dyDescent="0.25">
      <c r="A32" s="1" t="s">
        <v>132</v>
      </c>
      <c r="B32" s="2" t="s">
        <v>21</v>
      </c>
      <c r="C32" s="6">
        <v>20975.98</v>
      </c>
      <c r="D32" s="6">
        <f t="shared" si="0"/>
        <v>251711.76</v>
      </c>
      <c r="E32" s="2" t="s">
        <v>77</v>
      </c>
      <c r="F32" s="2" t="s">
        <v>92</v>
      </c>
      <c r="G32" s="46"/>
    </row>
    <row r="33" spans="1:7" ht="38.25" customHeight="1" x14ac:dyDescent="0.25">
      <c r="A33" s="1" t="s">
        <v>133</v>
      </c>
      <c r="B33" s="2" t="s">
        <v>34</v>
      </c>
      <c r="C33" s="6">
        <v>197000</v>
      </c>
      <c r="D33" s="6">
        <f t="shared" si="0"/>
        <v>2364000</v>
      </c>
      <c r="E33" s="2"/>
      <c r="F33" s="91" t="s">
        <v>182</v>
      </c>
      <c r="G33" s="47"/>
    </row>
    <row r="34" spans="1:7" ht="44.25" customHeight="1" x14ac:dyDescent="0.25">
      <c r="A34" s="1" t="s">
        <v>134</v>
      </c>
      <c r="B34" s="2" t="s">
        <v>35</v>
      </c>
      <c r="C34" s="6">
        <v>22500</v>
      </c>
      <c r="D34" s="6">
        <f>SUM(C34)*12</f>
        <v>270000</v>
      </c>
      <c r="E34" s="2"/>
      <c r="F34" s="92"/>
    </row>
    <row r="35" spans="1:7" ht="60" x14ac:dyDescent="0.25">
      <c r="A35" s="1" t="s">
        <v>135</v>
      </c>
      <c r="B35" s="2" t="s">
        <v>59</v>
      </c>
      <c r="C35" s="6">
        <v>19640</v>
      </c>
      <c r="D35" s="6">
        <f t="shared" si="0"/>
        <v>235680</v>
      </c>
      <c r="E35" s="2" t="s">
        <v>17</v>
      </c>
      <c r="F35" s="2" t="s">
        <v>108</v>
      </c>
    </row>
    <row r="36" spans="1:7" ht="45" x14ac:dyDescent="0.25">
      <c r="A36" s="1" t="s">
        <v>136</v>
      </c>
      <c r="B36" s="2" t="s">
        <v>27</v>
      </c>
      <c r="C36" s="6">
        <v>12000</v>
      </c>
      <c r="D36" s="6">
        <f t="shared" si="0"/>
        <v>144000</v>
      </c>
      <c r="E36" s="2" t="s">
        <v>79</v>
      </c>
      <c r="F36" s="2" t="s">
        <v>172</v>
      </c>
      <c r="G36" s="46"/>
    </row>
    <row r="37" spans="1:7" ht="30" x14ac:dyDescent="0.25">
      <c r="A37" s="1" t="s">
        <v>137</v>
      </c>
      <c r="B37" s="41" t="s">
        <v>85</v>
      </c>
      <c r="C37" s="6">
        <v>4100</v>
      </c>
      <c r="D37" s="6">
        <f>SUM(C37)*12</f>
        <v>49200</v>
      </c>
      <c r="E37" s="2" t="s">
        <v>87</v>
      </c>
      <c r="F37" s="2" t="s">
        <v>86</v>
      </c>
      <c r="G37" s="47"/>
    </row>
    <row r="38" spans="1:7" ht="30" x14ac:dyDescent="0.25">
      <c r="A38" s="34" t="s">
        <v>138</v>
      </c>
      <c r="B38" s="33" t="s">
        <v>32</v>
      </c>
      <c r="C38" s="6">
        <v>8800</v>
      </c>
      <c r="D38" s="6">
        <f>SUM(C38)*12</f>
        <v>105600</v>
      </c>
      <c r="E38" s="2" t="s">
        <v>33</v>
      </c>
      <c r="F38" s="2" t="s">
        <v>83</v>
      </c>
    </row>
    <row r="39" spans="1:7" x14ac:dyDescent="0.25">
      <c r="A39" s="2"/>
      <c r="B39" s="3" t="s">
        <v>11</v>
      </c>
      <c r="C39" s="5">
        <f>SUM(C22:C38)</f>
        <v>746990.16650000005</v>
      </c>
      <c r="D39" s="5">
        <f>SUM(D22:D38)</f>
        <v>8963881.9979999997</v>
      </c>
      <c r="E39" s="3"/>
      <c r="F39" s="3"/>
    </row>
    <row r="40" spans="1:7" x14ac:dyDescent="0.25">
      <c r="A40" s="28"/>
      <c r="B40" s="28" t="s">
        <v>60</v>
      </c>
      <c r="C40" s="5">
        <f>SUM(C17,C39)</f>
        <v>988795.32150000008</v>
      </c>
      <c r="D40" s="5">
        <f>SUM(D17,D39)</f>
        <v>11865543.857999999</v>
      </c>
      <c r="E40" s="3"/>
      <c r="F40" s="3"/>
    </row>
    <row r="42" spans="1:7" x14ac:dyDescent="0.25">
      <c r="A42" s="87" t="s">
        <v>139</v>
      </c>
      <c r="B42" s="87"/>
      <c r="C42" s="87"/>
      <c r="D42" s="87"/>
      <c r="E42" s="87"/>
      <c r="F42" s="87"/>
    </row>
    <row r="44" spans="1:7" x14ac:dyDescent="0.25">
      <c r="A44" s="2" t="s">
        <v>0</v>
      </c>
      <c r="B44" s="2" t="s">
        <v>1</v>
      </c>
      <c r="C44" s="2" t="s">
        <v>2</v>
      </c>
      <c r="D44" s="2" t="s">
        <v>3</v>
      </c>
      <c r="E44" s="2" t="s">
        <v>16</v>
      </c>
      <c r="F44" s="2" t="s">
        <v>15</v>
      </c>
    </row>
    <row r="45" spans="1:7" ht="75" x14ac:dyDescent="0.25">
      <c r="A45" s="1" t="s">
        <v>13</v>
      </c>
      <c r="B45" s="2" t="s">
        <v>28</v>
      </c>
      <c r="C45" s="6">
        <v>9044</v>
      </c>
      <c r="D45" s="6">
        <f>SUM(C45)*12</f>
        <v>108528</v>
      </c>
      <c r="E45" s="2" t="s">
        <v>29</v>
      </c>
      <c r="F45" s="2" t="s">
        <v>173</v>
      </c>
      <c r="G45" s="46"/>
    </row>
    <row r="46" spans="1:7" ht="45" x14ac:dyDescent="0.25">
      <c r="A46" s="35" t="s">
        <v>14</v>
      </c>
      <c r="B46" s="2" t="s">
        <v>89</v>
      </c>
      <c r="C46" s="6">
        <v>0</v>
      </c>
      <c r="D46" s="6">
        <f>SUM(C46)*12</f>
        <v>0</v>
      </c>
      <c r="E46" s="2"/>
      <c r="F46" s="2" t="s">
        <v>174</v>
      </c>
    </row>
    <row r="47" spans="1:7" x14ac:dyDescent="0.25">
      <c r="A47" s="3"/>
      <c r="B47" s="3" t="s">
        <v>11</v>
      </c>
      <c r="C47" s="5">
        <f>SUM(C45:C46)</f>
        <v>9044</v>
      </c>
      <c r="D47" s="5">
        <f>SUM(D45:D46)</f>
        <v>108528</v>
      </c>
      <c r="E47" s="3"/>
      <c r="F47" s="3"/>
    </row>
    <row r="48" spans="1:7" ht="39" customHeight="1" x14ac:dyDescent="0.25">
      <c r="A48" s="30"/>
      <c r="B48" s="3" t="s">
        <v>145</v>
      </c>
      <c r="C48" s="5">
        <f>SUM(C47,C40)</f>
        <v>997839.32150000008</v>
      </c>
      <c r="D48" s="5">
        <f>SUM(D47,D40)</f>
        <v>11974071.857999999</v>
      </c>
      <c r="E48" s="3"/>
      <c r="F48" s="3"/>
    </row>
    <row r="50" spans="1:6" x14ac:dyDescent="0.25">
      <c r="A50" s="87" t="s">
        <v>140</v>
      </c>
      <c r="B50" s="87"/>
      <c r="C50" s="87"/>
      <c r="D50" s="87"/>
      <c r="E50" s="87"/>
      <c r="F50" s="87"/>
    </row>
    <row r="52" spans="1:6" x14ac:dyDescent="0.25">
      <c r="A52" s="7" t="s">
        <v>0</v>
      </c>
      <c r="B52" s="7" t="s">
        <v>1</v>
      </c>
      <c r="C52" s="7" t="s">
        <v>2</v>
      </c>
      <c r="D52" s="7" t="s">
        <v>3</v>
      </c>
      <c r="E52" s="7" t="s">
        <v>16</v>
      </c>
      <c r="F52" s="7" t="s">
        <v>15</v>
      </c>
    </row>
    <row r="53" spans="1:6" ht="135" x14ac:dyDescent="0.25">
      <c r="A53" s="1" t="s">
        <v>61</v>
      </c>
      <c r="B53" s="2" t="s">
        <v>26</v>
      </c>
      <c r="C53" s="6">
        <f>SUM(Исполнение!U39)</f>
        <v>64643.039999999892</v>
      </c>
      <c r="D53" s="6">
        <f>SUM(C53)*12</f>
        <v>775716.4799999987</v>
      </c>
      <c r="E53" s="2" t="s">
        <v>151</v>
      </c>
      <c r="F53" s="2" t="s">
        <v>175</v>
      </c>
    </row>
    <row r="54" spans="1:6" ht="45" x14ac:dyDescent="0.25">
      <c r="A54" s="1" t="s">
        <v>141</v>
      </c>
      <c r="B54" s="2" t="s">
        <v>38</v>
      </c>
      <c r="C54" s="6">
        <f>SUM(Исполнение!U40)</f>
        <v>87471.958949999869</v>
      </c>
      <c r="D54" s="6">
        <f>SUM(C54)*12</f>
        <v>1049663.5073999984</v>
      </c>
      <c r="E54" s="2" t="s">
        <v>40</v>
      </c>
      <c r="F54" s="2" t="s">
        <v>176</v>
      </c>
    </row>
    <row r="55" spans="1:6" ht="45" x14ac:dyDescent="0.25">
      <c r="A55" s="1" t="s">
        <v>142</v>
      </c>
      <c r="B55" s="2" t="s">
        <v>50</v>
      </c>
      <c r="C55" s="6">
        <f>SUM(Исполнение!U41+Исполнение!U42)</f>
        <v>38102.815799999997</v>
      </c>
      <c r="D55" s="6">
        <f>SUM(C55)*12</f>
        <v>457233.78959999996</v>
      </c>
      <c r="E55" s="2" t="s">
        <v>39</v>
      </c>
      <c r="F55" s="2" t="s">
        <v>177</v>
      </c>
    </row>
    <row r="56" spans="1:6" ht="60" x14ac:dyDescent="0.25">
      <c r="A56" s="1" t="s">
        <v>143</v>
      </c>
      <c r="B56" s="2" t="s">
        <v>37</v>
      </c>
      <c r="C56" s="6">
        <f>SUM(Исполнение!U43+Исполнение!U44)</f>
        <v>35941.439299999998</v>
      </c>
      <c r="D56" s="6">
        <f>SUM(C56)*12</f>
        <v>431297.27159999998</v>
      </c>
      <c r="E56" s="2" t="s">
        <v>41</v>
      </c>
      <c r="F56" s="2" t="s">
        <v>178</v>
      </c>
    </row>
    <row r="57" spans="1:6" ht="30" x14ac:dyDescent="0.25">
      <c r="A57" s="29"/>
      <c r="B57" s="27" t="s">
        <v>149</v>
      </c>
      <c r="C57" s="5">
        <f>SUM(C53:C56)</f>
        <v>226159.25404999973</v>
      </c>
      <c r="D57" s="5">
        <f>SUM(D53:D56)</f>
        <v>2713911.0485999971</v>
      </c>
      <c r="E57" s="3"/>
      <c r="F57" s="3"/>
    </row>
    <row r="58" spans="1:6" ht="36.75" customHeight="1" x14ac:dyDescent="0.25">
      <c r="A58" s="30"/>
      <c r="B58" s="3" t="s">
        <v>146</v>
      </c>
      <c r="C58" s="5">
        <f>SUM(C57,C48)</f>
        <v>1223998.5755499997</v>
      </c>
      <c r="D58" s="5">
        <f>SUM(D57,D48)</f>
        <v>14687982.906599997</v>
      </c>
      <c r="E58" s="3"/>
      <c r="F58" s="3"/>
    </row>
    <row r="60" spans="1:6" x14ac:dyDescent="0.25">
      <c r="A60" s="87" t="s">
        <v>144</v>
      </c>
      <c r="B60" s="87"/>
      <c r="C60" s="87"/>
      <c r="D60" s="87"/>
      <c r="E60" s="87"/>
      <c r="F60" s="87"/>
    </row>
    <row r="62" spans="1:6" x14ac:dyDescent="0.25">
      <c r="A62" s="2" t="s">
        <v>0</v>
      </c>
      <c r="B62" s="2" t="s">
        <v>1</v>
      </c>
      <c r="C62" s="2" t="s">
        <v>2</v>
      </c>
      <c r="D62" s="2" t="s">
        <v>3</v>
      </c>
      <c r="E62" s="2" t="s">
        <v>16</v>
      </c>
      <c r="F62" s="2" t="s">
        <v>15</v>
      </c>
    </row>
    <row r="63" spans="1:6" ht="90" x14ac:dyDescent="0.25">
      <c r="A63" s="34" t="s">
        <v>62</v>
      </c>
      <c r="B63" s="33" t="s">
        <v>36</v>
      </c>
      <c r="C63" s="6">
        <f>SUM(Исполнение!U51)</f>
        <v>129670.59750000002</v>
      </c>
      <c r="D63" s="6">
        <f>SUM(C63)*12</f>
        <v>1556047.1700000002</v>
      </c>
      <c r="E63" s="2"/>
      <c r="F63" s="2" t="s">
        <v>179</v>
      </c>
    </row>
    <row r="64" spans="1:6" ht="45" x14ac:dyDescent="0.25">
      <c r="A64" s="31"/>
      <c r="B64" s="3" t="s">
        <v>147</v>
      </c>
      <c r="C64" s="5">
        <f>SUM(C60:C63)</f>
        <v>129670.59750000002</v>
      </c>
      <c r="D64" s="5">
        <f>SUM(D60:D63)</f>
        <v>1556047.1700000002</v>
      </c>
      <c r="E64" s="3"/>
      <c r="F64" s="3"/>
    </row>
    <row r="65" spans="1:6" ht="15" customHeight="1" x14ac:dyDescent="0.25">
      <c r="A65" s="32"/>
      <c r="B65" s="3" t="s">
        <v>148</v>
      </c>
      <c r="C65" s="5">
        <f>SUM(C64,C58)</f>
        <v>1353669.1730499996</v>
      </c>
      <c r="D65" s="5">
        <f>SUM(D64,D58)</f>
        <v>16244030.076599997</v>
      </c>
      <c r="E65" s="3"/>
      <c r="F65" s="3"/>
    </row>
    <row r="71" spans="1:6" ht="15" customHeight="1" x14ac:dyDescent="0.25"/>
  </sheetData>
  <mergeCells count="9">
    <mergeCell ref="A50:F50"/>
    <mergeCell ref="A60:F60"/>
    <mergeCell ref="A1:F1"/>
    <mergeCell ref="A3:F3"/>
    <mergeCell ref="A5:F5"/>
    <mergeCell ref="A19:F19"/>
    <mergeCell ref="A42:F42"/>
    <mergeCell ref="F33:F34"/>
    <mergeCell ref="A6:F6"/>
  </mergeCells>
  <phoneticPr fontId="6" type="noConversion"/>
  <pageMargins left="0.7" right="0.7" top="0.75" bottom="0.75" header="0.3" footer="0.3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Исполнение</vt:lpstr>
      <vt:lpstr>План</vt:lpstr>
    </vt:vector>
  </TitlesOfParts>
  <Company>Zvezda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Vladislav Markov</cp:lastModifiedBy>
  <cp:lastPrinted>2016-06-09T16:53:14Z</cp:lastPrinted>
  <dcterms:created xsi:type="dcterms:W3CDTF">2014-05-22T15:03:02Z</dcterms:created>
  <dcterms:modified xsi:type="dcterms:W3CDTF">2024-04-22T18:38:23Z</dcterms:modified>
</cp:coreProperties>
</file>